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 codeName="{21656B06-1B9B-AA78-C99D-37B55691406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jean-luc.bruninx\Documents\JLB\CSPM\2019\Journee 1 Rivière Seniors - Stavelot\"/>
    </mc:Choice>
  </mc:AlternateContent>
  <bookViews>
    <workbookView xWindow="0" yWindow="0" windowWidth="28800" windowHeight="12255" activeTab="2"/>
  </bookViews>
  <sheets>
    <sheet name="PARTICIPANTS" sheetId="22" r:id="rId1"/>
    <sheet name="Rotations" sheetId="23" r:id="rId2"/>
    <sheet name="Classement Final" sheetId="24" r:id="rId3"/>
    <sheet name="Podium" sheetId="25" r:id="rId4"/>
    <sheet name="Stats" sheetId="64" r:id="rId5"/>
    <sheet name="Adam Christophe" sheetId="1" r:id="rId6"/>
    <sheet name="Aguado Nicolas" sheetId="2" r:id="rId7"/>
    <sheet name="Bebelmans Ghislain" sheetId="3" r:id="rId8"/>
    <sheet name="Bracco Ludovic" sheetId="4" r:id="rId9"/>
    <sheet name="Briquemont Mathias" sheetId="5" r:id="rId10"/>
    <sheet name="Bruninx Jean-Luc" sheetId="6" r:id="rId11"/>
    <sheet name="Coquette Arthur" sheetId="7" r:id="rId12"/>
    <sheet name="Cougnet  Ludovic" sheetId="60" r:id="rId13"/>
    <sheet name="Curvers Maxime" sheetId="59" r:id="rId14"/>
    <sheet name="DelFrari Romano" sheetId="58" r:id="rId15"/>
    <sheet name="Delhasse Jacques" sheetId="57" r:id="rId16"/>
    <sheet name="Dequinze Benoit" sheetId="56" r:id="rId17"/>
    <sheet name="Destiné Martin" sheetId="55" r:id="rId18"/>
    <sheet name="Devooght Giani" sheetId="54" r:id="rId19"/>
    <sheet name="DiMarco David" sheetId="53" r:id="rId20"/>
    <sheet name="Dockier Fabrice" sheetId="52" r:id="rId21"/>
    <sheet name="Dupont  Olivier" sheetId="51" r:id="rId22"/>
    <sheet name="Frison Fabian" sheetId="50" r:id="rId23"/>
    <sheet name="Gigot Alain" sheetId="49" r:id="rId24"/>
    <sheet name="Habran Jérémy" sheetId="48" r:id="rId25"/>
    <sheet name="Henrottin  Christian" sheetId="47" r:id="rId26"/>
    <sheet name="Hockers  Thierry" sheetId="46" r:id="rId27"/>
    <sheet name="Jacques Romain" sheetId="45" r:id="rId28"/>
    <sheet name="Jamagne Thierry" sheetId="44" r:id="rId29"/>
    <sheet name="Lambert Jacques" sheetId="43" r:id="rId30"/>
    <sheet name="Leboutte Loïc" sheetId="65" r:id="rId31"/>
    <sheet name="Lefert Quentin" sheetId="66" r:id="rId32"/>
    <sheet name="Marchais Philippe" sheetId="68" r:id="rId33"/>
    <sheet name="Lorquet Julien" sheetId="67" r:id="rId34"/>
    <sheet name="Mathieu Vincent" sheetId="69" r:id="rId35"/>
    <sheet name="Mathieu Christian" sheetId="70" r:id="rId36"/>
    <sheet name="Ruisseau Olivier" sheetId="71" r:id="rId37"/>
    <sheet name="Sabaut Serge" sheetId="72" r:id="rId38"/>
    <sheet name="Saive Thibault" sheetId="73" r:id="rId39"/>
    <sheet name="parametres" sheetId="27" r:id="rId40"/>
  </sheets>
  <definedNames>
    <definedName name="_xlnm._FilterDatabase" localSheetId="2" hidden="1">'Classement Final'!$A$2:$AF$39</definedName>
    <definedName name="_xlnm._FilterDatabase" localSheetId="0" hidden="1">PARTICIPANTS!$A$1:$E$26</definedName>
    <definedName name="_xlnm._FilterDatabase" localSheetId="3" hidden="1">Podium!$A$2:$H$23</definedName>
    <definedName name="_xlnm._FilterDatabase" localSheetId="4" hidden="1">Stats!$B$2:$K$34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64" l="1"/>
  <c r="I34" i="64"/>
  <c r="H34" i="64"/>
  <c r="G34" i="64"/>
  <c r="F34" i="64"/>
  <c r="E34" i="64"/>
  <c r="D34" i="64"/>
  <c r="C34" i="64"/>
  <c r="K34" i="64" s="1"/>
  <c r="J33" i="64"/>
  <c r="I33" i="64"/>
  <c r="H33" i="64"/>
  <c r="G33" i="64"/>
  <c r="F33" i="64"/>
  <c r="E33" i="64"/>
  <c r="D33" i="64"/>
  <c r="C33" i="64"/>
  <c r="K33" i="64" s="1"/>
  <c r="J32" i="64"/>
  <c r="I32" i="64"/>
  <c r="H32" i="64"/>
  <c r="G32" i="64"/>
  <c r="F32" i="64"/>
  <c r="E32" i="64"/>
  <c r="D32" i="64"/>
  <c r="C32" i="64"/>
  <c r="K32" i="64" s="1"/>
  <c r="J31" i="64"/>
  <c r="I31" i="64"/>
  <c r="H31" i="64"/>
  <c r="G31" i="64"/>
  <c r="F31" i="64"/>
  <c r="E31" i="64"/>
  <c r="D31" i="64"/>
  <c r="C31" i="64"/>
  <c r="K31" i="64" s="1"/>
  <c r="C30" i="64"/>
  <c r="D24" i="25" l="1"/>
  <c r="D25" i="25"/>
  <c r="D30" i="25"/>
  <c r="D32" i="25"/>
  <c r="D23" i="25"/>
  <c r="D5" i="25"/>
  <c r="D4" i="25"/>
  <c r="D10" i="25"/>
  <c r="D22" i="25"/>
  <c r="D19" i="25"/>
  <c r="D35" i="25"/>
  <c r="D36" i="25"/>
  <c r="D27" i="25"/>
  <c r="D28" i="25"/>
  <c r="D20" i="25"/>
  <c r="D33" i="25"/>
  <c r="D31" i="25"/>
  <c r="D34" i="25"/>
  <c r="D11" i="25"/>
  <c r="D16" i="25"/>
  <c r="D8" i="25"/>
  <c r="D29" i="25"/>
  <c r="D7" i="25"/>
  <c r="D21" i="25"/>
  <c r="D9" i="25"/>
  <c r="D17" i="25"/>
  <c r="D26" i="25"/>
  <c r="D3" i="25"/>
  <c r="D15" i="25"/>
  <c r="D14" i="25"/>
  <c r="D18" i="25"/>
  <c r="D13" i="25"/>
  <c r="D12" i="25"/>
  <c r="D6" i="25"/>
  <c r="F15" i="25"/>
  <c r="F3" i="25"/>
  <c r="F26" i="25"/>
  <c r="F17" i="25"/>
  <c r="F9" i="25"/>
  <c r="F21" i="25"/>
  <c r="F7" i="25"/>
  <c r="F29" i="25"/>
  <c r="F8" i="25"/>
  <c r="C12" i="25"/>
  <c r="C14" i="25"/>
  <c r="C18" i="25"/>
  <c r="C13" i="25"/>
  <c r="C24" i="25"/>
  <c r="C25" i="25"/>
  <c r="C30" i="25"/>
  <c r="C32" i="25"/>
  <c r="C23" i="25"/>
  <c r="C5" i="25"/>
  <c r="C4" i="25"/>
  <c r="C10" i="25"/>
  <c r="C22" i="25"/>
  <c r="C19" i="25"/>
  <c r="C35" i="25"/>
  <c r="C36" i="25"/>
  <c r="C27" i="25"/>
  <c r="C28" i="25"/>
  <c r="C20" i="25"/>
  <c r="C33" i="25"/>
  <c r="C31" i="25"/>
  <c r="C34" i="25"/>
  <c r="C11" i="25"/>
  <c r="C16" i="25"/>
  <c r="C8" i="25"/>
  <c r="C29" i="25"/>
  <c r="C7" i="25"/>
  <c r="C21" i="25"/>
  <c r="C9" i="25"/>
  <c r="C17" i="25"/>
  <c r="C26" i="25"/>
  <c r="C3" i="25"/>
  <c r="C15" i="25"/>
  <c r="C6" i="25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6" i="23"/>
  <c r="H41" i="73" l="1"/>
  <c r="G41" i="73"/>
  <c r="F41" i="73"/>
  <c r="E41" i="73"/>
  <c r="D41" i="73"/>
  <c r="R36" i="24" s="1"/>
  <c r="C41" i="73"/>
  <c r="B41" i="73"/>
  <c r="L36" i="24" s="1"/>
  <c r="A41" i="73"/>
  <c r="H41" i="72"/>
  <c r="G41" i="72"/>
  <c r="F41" i="72"/>
  <c r="X35" i="24" s="1"/>
  <c r="E41" i="72"/>
  <c r="D41" i="72"/>
  <c r="C41" i="72"/>
  <c r="B41" i="72"/>
  <c r="L35" i="24" s="1"/>
  <c r="A41" i="72"/>
  <c r="H41" i="71"/>
  <c r="G41" i="71"/>
  <c r="F41" i="71"/>
  <c r="X34" i="24" s="1"/>
  <c r="E41" i="71"/>
  <c r="D41" i="71"/>
  <c r="C41" i="71"/>
  <c r="B41" i="71"/>
  <c r="L34" i="24" s="1"/>
  <c r="A41" i="71"/>
  <c r="B43" i="22"/>
  <c r="B39" i="22"/>
  <c r="AF28" i="24"/>
  <c r="AF36" i="24"/>
  <c r="AF35" i="24"/>
  <c r="AF34" i="24"/>
  <c r="AF33" i="24"/>
  <c r="AF32" i="24"/>
  <c r="AF31" i="24"/>
  <c r="AF30" i="24"/>
  <c r="AF29" i="24"/>
  <c r="AE36" i="24"/>
  <c r="AE35" i="24"/>
  <c r="AE34" i="24"/>
  <c r="AE33" i="24"/>
  <c r="AE32" i="24"/>
  <c r="AE31" i="24"/>
  <c r="AE30" i="24"/>
  <c r="AE29" i="24"/>
  <c r="AE28" i="24"/>
  <c r="B41" i="2"/>
  <c r="A41" i="2"/>
  <c r="Z36" i="24"/>
  <c r="Z35" i="24"/>
  <c r="Z37" i="24" s="1"/>
  <c r="Z34" i="24"/>
  <c r="Z33" i="24"/>
  <c r="Z32" i="24"/>
  <c r="Z31" i="24"/>
  <c r="Z30" i="24"/>
  <c r="Z29" i="24"/>
  <c r="Z28" i="24"/>
  <c r="Y36" i="24"/>
  <c r="Y35" i="24"/>
  <c r="Y34" i="24"/>
  <c r="Y33" i="24"/>
  <c r="Y32" i="24"/>
  <c r="Y31" i="24"/>
  <c r="Y30" i="24"/>
  <c r="Y29" i="24"/>
  <c r="Y28" i="24"/>
  <c r="AD36" i="24"/>
  <c r="AD35" i="24"/>
  <c r="AD34" i="24"/>
  <c r="X36" i="24"/>
  <c r="T36" i="24"/>
  <c r="T35" i="24"/>
  <c r="T37" i="24" s="1"/>
  <c r="T34" i="24"/>
  <c r="T33" i="24"/>
  <c r="T32" i="24"/>
  <c r="T31" i="24"/>
  <c r="T30" i="24"/>
  <c r="T29" i="24"/>
  <c r="T28" i="24"/>
  <c r="S36" i="24"/>
  <c r="S35" i="24"/>
  <c r="S37" i="24" s="1"/>
  <c r="S34" i="24"/>
  <c r="S33" i="24"/>
  <c r="S32" i="24"/>
  <c r="S31" i="24"/>
  <c r="S30" i="24"/>
  <c r="S29" i="24"/>
  <c r="S28" i="24"/>
  <c r="R35" i="24"/>
  <c r="R34" i="24"/>
  <c r="R29" i="24"/>
  <c r="N28" i="24"/>
  <c r="N36" i="24"/>
  <c r="N35" i="24"/>
  <c r="N37" i="24" s="1"/>
  <c r="N34" i="24"/>
  <c r="N33" i="24"/>
  <c r="N32" i="24"/>
  <c r="N31" i="24"/>
  <c r="N30" i="24"/>
  <c r="N29" i="24"/>
  <c r="M36" i="24"/>
  <c r="M35" i="24"/>
  <c r="M37" i="24" s="1"/>
  <c r="M34" i="24"/>
  <c r="M33" i="24"/>
  <c r="M32" i="24"/>
  <c r="M31" i="24"/>
  <c r="M30" i="24"/>
  <c r="M29" i="24"/>
  <c r="M28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" i="24"/>
  <c r="C4" i="24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" i="24"/>
  <c r="Y37" i="24" l="1"/>
  <c r="AE37" i="24"/>
  <c r="AF37" i="24"/>
  <c r="I34" i="24"/>
  <c r="U34" i="24"/>
  <c r="AA34" i="24"/>
  <c r="O34" i="24"/>
  <c r="I26" i="24"/>
  <c r="U26" i="24"/>
  <c r="AA26" i="24"/>
  <c r="O26" i="24"/>
  <c r="I18" i="24"/>
  <c r="U18" i="24"/>
  <c r="AA18" i="24"/>
  <c r="O18" i="24"/>
  <c r="I10" i="24"/>
  <c r="U10" i="24"/>
  <c r="AA10" i="24"/>
  <c r="O10" i="24"/>
  <c r="I3" i="24"/>
  <c r="AA3" i="24"/>
  <c r="O3" i="24"/>
  <c r="U3" i="24"/>
  <c r="I29" i="24"/>
  <c r="AA29" i="24"/>
  <c r="O29" i="24"/>
  <c r="U29" i="24"/>
  <c r="I21" i="24"/>
  <c r="AA21" i="24"/>
  <c r="O21" i="24"/>
  <c r="U21" i="24"/>
  <c r="I9" i="24"/>
  <c r="AA9" i="24"/>
  <c r="O9" i="24"/>
  <c r="U9" i="24"/>
  <c r="I36" i="24"/>
  <c r="AA36" i="24"/>
  <c r="O36" i="24"/>
  <c r="U36" i="24"/>
  <c r="I32" i="24"/>
  <c r="AA32" i="24"/>
  <c r="O32" i="24"/>
  <c r="U32" i="24"/>
  <c r="I28" i="24"/>
  <c r="AA28" i="24"/>
  <c r="O28" i="24"/>
  <c r="U28" i="24"/>
  <c r="I24" i="24"/>
  <c r="AA24" i="24"/>
  <c r="O24" i="24"/>
  <c r="U24" i="24"/>
  <c r="I20" i="24"/>
  <c r="AA20" i="24"/>
  <c r="O20" i="24"/>
  <c r="U20" i="24"/>
  <c r="I16" i="24"/>
  <c r="AA16" i="24"/>
  <c r="O16" i="24"/>
  <c r="U16" i="24"/>
  <c r="I12" i="24"/>
  <c r="AA12" i="24"/>
  <c r="O12" i="24"/>
  <c r="U12" i="24"/>
  <c r="I8" i="24"/>
  <c r="AA8" i="24"/>
  <c r="O8" i="24"/>
  <c r="U8" i="24"/>
  <c r="I4" i="24"/>
  <c r="AA4" i="24"/>
  <c r="O4" i="24"/>
  <c r="U4" i="24"/>
  <c r="I30" i="24"/>
  <c r="U30" i="24"/>
  <c r="O30" i="24"/>
  <c r="AA30" i="24"/>
  <c r="I22" i="24"/>
  <c r="U22" i="24"/>
  <c r="O22" i="24"/>
  <c r="AA22" i="24"/>
  <c r="I14" i="24"/>
  <c r="U14" i="24"/>
  <c r="O14" i="24"/>
  <c r="AA14" i="24"/>
  <c r="I6" i="24"/>
  <c r="U6" i="24"/>
  <c r="O6" i="24"/>
  <c r="AA6" i="24"/>
  <c r="I33" i="24"/>
  <c r="AA33" i="24"/>
  <c r="O33" i="24"/>
  <c r="U33" i="24"/>
  <c r="I25" i="24"/>
  <c r="AA25" i="24"/>
  <c r="O25" i="24"/>
  <c r="U25" i="24"/>
  <c r="I17" i="24"/>
  <c r="AA17" i="24"/>
  <c r="O17" i="24"/>
  <c r="U17" i="24"/>
  <c r="I13" i="24"/>
  <c r="AA13" i="24"/>
  <c r="O13" i="24"/>
  <c r="U13" i="24"/>
  <c r="I5" i="24"/>
  <c r="AA5" i="24"/>
  <c r="O5" i="24"/>
  <c r="U5" i="24"/>
  <c r="I35" i="24"/>
  <c r="O35" i="24"/>
  <c r="U35" i="24"/>
  <c r="AA35" i="24"/>
  <c r="I31" i="24"/>
  <c r="U31" i="24"/>
  <c r="AA31" i="24"/>
  <c r="O31" i="24"/>
  <c r="I27" i="24"/>
  <c r="U27" i="24"/>
  <c r="AA27" i="24"/>
  <c r="O27" i="24"/>
  <c r="I23" i="24"/>
  <c r="O23" i="24"/>
  <c r="U23" i="24"/>
  <c r="AA23" i="24"/>
  <c r="I19" i="24"/>
  <c r="U19" i="24"/>
  <c r="AA19" i="24"/>
  <c r="O19" i="24"/>
  <c r="I15" i="24"/>
  <c r="U15" i="24"/>
  <c r="AA15" i="24"/>
  <c r="O15" i="24"/>
  <c r="I11" i="24"/>
  <c r="O11" i="24"/>
  <c r="U11" i="24"/>
  <c r="AA11" i="24"/>
  <c r="I7" i="24"/>
  <c r="U7" i="24"/>
  <c r="AA7" i="24"/>
  <c r="O7" i="24"/>
  <c r="V18" i="24"/>
  <c r="P18" i="24"/>
  <c r="J18" i="24"/>
  <c r="AB18" i="24"/>
  <c r="V19" i="24"/>
  <c r="AB19" i="24"/>
  <c r="P19" i="24"/>
  <c r="J19" i="24"/>
  <c r="AB25" i="24"/>
  <c r="P25" i="24"/>
  <c r="J25" i="24"/>
  <c r="V25" i="24"/>
  <c r="W35" i="24"/>
  <c r="Q34" i="24"/>
  <c r="W34" i="24"/>
  <c r="AC36" i="24"/>
  <c r="W36" i="24"/>
  <c r="AC34" i="24"/>
  <c r="AC35" i="24"/>
  <c r="Q36" i="24"/>
  <c r="Q35" i="24"/>
  <c r="H36" i="24"/>
  <c r="H35" i="24"/>
  <c r="H37" i="24" s="1"/>
  <c r="K36" i="24"/>
  <c r="H34" i="24"/>
  <c r="K34" i="24"/>
  <c r="K35" i="24"/>
  <c r="H41" i="70"/>
  <c r="AD33" i="24" s="1"/>
  <c r="AC33" i="24" s="1"/>
  <c r="G41" i="70"/>
  <c r="F41" i="70"/>
  <c r="X33" i="24" s="1"/>
  <c r="W33" i="24" s="1"/>
  <c r="E41" i="70"/>
  <c r="D41" i="70"/>
  <c r="R33" i="24" s="1"/>
  <c r="C41" i="70"/>
  <c r="B41" i="70"/>
  <c r="L33" i="24" s="1"/>
  <c r="K33" i="24" s="1"/>
  <c r="A41" i="70"/>
  <c r="H41" i="69"/>
  <c r="AD32" i="24" s="1"/>
  <c r="AC32" i="24" s="1"/>
  <c r="G41" i="69"/>
  <c r="F41" i="69"/>
  <c r="X32" i="24" s="1"/>
  <c r="E41" i="69"/>
  <c r="D41" i="69"/>
  <c r="R32" i="24" s="1"/>
  <c r="Q32" i="24" s="1"/>
  <c r="C41" i="69"/>
  <c r="B41" i="69"/>
  <c r="L32" i="24" s="1"/>
  <c r="A41" i="69"/>
  <c r="H41" i="68"/>
  <c r="AD31" i="24" s="1"/>
  <c r="AC31" i="24" s="1"/>
  <c r="G41" i="68"/>
  <c r="F41" i="68"/>
  <c r="X31" i="24" s="1"/>
  <c r="W31" i="24" s="1"/>
  <c r="E41" i="68"/>
  <c r="D41" i="68"/>
  <c r="R31" i="24" s="1"/>
  <c r="C41" i="68"/>
  <c r="B41" i="68"/>
  <c r="L31" i="24" s="1"/>
  <c r="K31" i="24" s="1"/>
  <c r="A41" i="68"/>
  <c r="H41" i="67"/>
  <c r="AD30" i="24" s="1"/>
  <c r="AC30" i="24" s="1"/>
  <c r="G41" i="67"/>
  <c r="F41" i="67"/>
  <c r="X30" i="24" s="1"/>
  <c r="E41" i="67"/>
  <c r="D41" i="67"/>
  <c r="R30" i="24" s="1"/>
  <c r="Q30" i="24" s="1"/>
  <c r="C41" i="67"/>
  <c r="B41" i="67"/>
  <c r="L30" i="24" s="1"/>
  <c r="A41" i="67"/>
  <c r="H41" i="66"/>
  <c r="AD29" i="24" s="1"/>
  <c r="AC29" i="24" s="1"/>
  <c r="G41" i="66"/>
  <c r="F41" i="66"/>
  <c r="X29" i="24" s="1"/>
  <c r="W29" i="24" s="1"/>
  <c r="E41" i="66"/>
  <c r="D41" i="66"/>
  <c r="C41" i="66"/>
  <c r="B41" i="66"/>
  <c r="L29" i="24" s="1"/>
  <c r="K29" i="24" s="1"/>
  <c r="A41" i="66"/>
  <c r="H41" i="65"/>
  <c r="AD28" i="24" s="1"/>
  <c r="AC28" i="24" s="1"/>
  <c r="G41" i="65"/>
  <c r="F41" i="65"/>
  <c r="X28" i="24" s="1"/>
  <c r="E41" i="65"/>
  <c r="D41" i="65"/>
  <c r="R28" i="24" s="1"/>
  <c r="Q28" i="24" s="1"/>
  <c r="C41" i="65"/>
  <c r="B41" i="65"/>
  <c r="L28" i="24" s="1"/>
  <c r="A41" i="65"/>
  <c r="H32" i="24"/>
  <c r="H30" i="24"/>
  <c r="H28" i="24"/>
  <c r="G34" i="24" l="1"/>
  <c r="G36" i="24"/>
  <c r="G35" i="24"/>
  <c r="K28" i="24"/>
  <c r="W30" i="24"/>
  <c r="Q31" i="24"/>
  <c r="W28" i="24"/>
  <c r="Q29" i="24"/>
  <c r="W32" i="24"/>
  <c r="Q33" i="24"/>
  <c r="H29" i="24"/>
  <c r="H31" i="24"/>
  <c r="H33" i="24"/>
  <c r="K30" i="24"/>
  <c r="K32" i="24"/>
  <c r="F12" i="25"/>
  <c r="F14" i="25"/>
  <c r="F18" i="25"/>
  <c r="F13" i="25"/>
  <c r="F24" i="25"/>
  <c r="F25" i="25"/>
  <c r="F30" i="25"/>
  <c r="F32" i="25"/>
  <c r="F23" i="25"/>
  <c r="F5" i="25"/>
  <c r="F4" i="25"/>
  <c r="F10" i="25"/>
  <c r="F22" i="25"/>
  <c r="F19" i="25"/>
  <c r="F35" i="25"/>
  <c r="F36" i="25"/>
  <c r="F27" i="25"/>
  <c r="F28" i="25"/>
  <c r="F20" i="25"/>
  <c r="F33" i="25"/>
  <c r="F31" i="25"/>
  <c r="F34" i="25"/>
  <c r="F11" i="25"/>
  <c r="F16" i="25"/>
  <c r="G29" i="24" l="1"/>
  <c r="G33" i="24"/>
  <c r="G31" i="24"/>
  <c r="G32" i="24"/>
  <c r="G30" i="24"/>
  <c r="G28" i="24"/>
  <c r="H41" i="1"/>
  <c r="G41" i="1"/>
  <c r="F41" i="1"/>
  <c r="E41" i="1"/>
  <c r="D41" i="1"/>
  <c r="C41" i="1"/>
  <c r="B41" i="1"/>
  <c r="A41" i="1"/>
  <c r="H41" i="43" l="1"/>
  <c r="G41" i="43"/>
  <c r="F41" i="43"/>
  <c r="E41" i="43"/>
  <c r="D41" i="43"/>
  <c r="C41" i="43"/>
  <c r="B41" i="43"/>
  <c r="A41" i="43"/>
  <c r="H41" i="44"/>
  <c r="G41" i="44"/>
  <c r="F41" i="44"/>
  <c r="E41" i="44"/>
  <c r="D41" i="44"/>
  <c r="C41" i="44"/>
  <c r="B41" i="44"/>
  <c r="A41" i="44"/>
  <c r="H41" i="45"/>
  <c r="G41" i="45"/>
  <c r="F41" i="45"/>
  <c r="E41" i="45"/>
  <c r="D41" i="45"/>
  <c r="C41" i="45"/>
  <c r="B41" i="45"/>
  <c r="A41" i="45"/>
  <c r="H41" i="46"/>
  <c r="G41" i="46"/>
  <c r="F41" i="46"/>
  <c r="E41" i="46"/>
  <c r="D41" i="46"/>
  <c r="C41" i="46"/>
  <c r="B41" i="46"/>
  <c r="A41" i="46"/>
  <c r="H41" i="47"/>
  <c r="G41" i="47"/>
  <c r="F41" i="47"/>
  <c r="E41" i="47"/>
  <c r="D41" i="47"/>
  <c r="C41" i="47"/>
  <c r="B41" i="47"/>
  <c r="A41" i="47"/>
  <c r="H41" i="48"/>
  <c r="G41" i="48"/>
  <c r="F41" i="48"/>
  <c r="E41" i="48"/>
  <c r="D41" i="48"/>
  <c r="C41" i="48"/>
  <c r="B41" i="48"/>
  <c r="A41" i="48"/>
  <c r="H41" i="49"/>
  <c r="G41" i="49"/>
  <c r="F41" i="49"/>
  <c r="E41" i="49"/>
  <c r="D41" i="49"/>
  <c r="C41" i="49"/>
  <c r="B41" i="49"/>
  <c r="A41" i="49"/>
  <c r="H41" i="50"/>
  <c r="G41" i="50"/>
  <c r="F41" i="50"/>
  <c r="E41" i="50"/>
  <c r="D41" i="50"/>
  <c r="C41" i="50"/>
  <c r="B41" i="50"/>
  <c r="A41" i="50"/>
  <c r="H41" i="52"/>
  <c r="G41" i="52"/>
  <c r="F41" i="52"/>
  <c r="E41" i="52"/>
  <c r="D41" i="52"/>
  <c r="C41" i="52"/>
  <c r="B41" i="52"/>
  <c r="A41" i="52"/>
  <c r="H41" i="51"/>
  <c r="G41" i="51"/>
  <c r="F41" i="51"/>
  <c r="E41" i="51"/>
  <c r="D41" i="51"/>
  <c r="C41" i="51"/>
  <c r="B41" i="51"/>
  <c r="A41" i="51"/>
  <c r="H41" i="53"/>
  <c r="G41" i="53"/>
  <c r="F41" i="53"/>
  <c r="E41" i="53"/>
  <c r="D41" i="53"/>
  <c r="C41" i="53"/>
  <c r="B41" i="53"/>
  <c r="A41" i="53"/>
  <c r="H41" i="54"/>
  <c r="G41" i="54"/>
  <c r="F41" i="54"/>
  <c r="E41" i="54"/>
  <c r="D41" i="54"/>
  <c r="C41" i="54"/>
  <c r="B41" i="54"/>
  <c r="A41" i="54"/>
  <c r="H41" i="55"/>
  <c r="G41" i="55"/>
  <c r="F41" i="55"/>
  <c r="E41" i="55"/>
  <c r="D41" i="55"/>
  <c r="C41" i="55"/>
  <c r="B41" i="55"/>
  <c r="A41" i="55"/>
  <c r="H41" i="56"/>
  <c r="G41" i="56"/>
  <c r="F41" i="56"/>
  <c r="E41" i="56"/>
  <c r="D41" i="56"/>
  <c r="C41" i="56"/>
  <c r="B41" i="56"/>
  <c r="A41" i="56"/>
  <c r="H41" i="57"/>
  <c r="G41" i="57"/>
  <c r="F41" i="57"/>
  <c r="E41" i="57"/>
  <c r="D41" i="57"/>
  <c r="C41" i="57"/>
  <c r="B41" i="57"/>
  <c r="A41" i="57"/>
  <c r="H41" i="58"/>
  <c r="G41" i="58"/>
  <c r="F41" i="58"/>
  <c r="E41" i="58"/>
  <c r="D41" i="58"/>
  <c r="C41" i="58"/>
  <c r="B41" i="58"/>
  <c r="A41" i="58"/>
  <c r="H41" i="60"/>
  <c r="G41" i="60"/>
  <c r="F41" i="60"/>
  <c r="E41" i="60"/>
  <c r="D41" i="60"/>
  <c r="C41" i="60"/>
  <c r="B41" i="60"/>
  <c r="A41" i="60"/>
  <c r="H41" i="59"/>
  <c r="G41" i="59"/>
  <c r="F41" i="59"/>
  <c r="E41" i="59"/>
  <c r="D41" i="59"/>
  <c r="C41" i="59"/>
  <c r="B41" i="59"/>
  <c r="A41" i="59"/>
  <c r="AD27" i="24" l="1"/>
  <c r="AD26" i="24"/>
  <c r="AD25" i="24"/>
  <c r="AD24" i="24"/>
  <c r="AD23" i="24"/>
  <c r="AD22" i="24"/>
  <c r="AD21" i="24"/>
  <c r="AD20" i="24"/>
  <c r="AD19" i="24"/>
  <c r="AD18" i="24"/>
  <c r="AD17" i="24"/>
  <c r="AD16" i="24"/>
  <c r="AD15" i="24"/>
  <c r="AD14" i="24"/>
  <c r="AD13" i="24"/>
  <c r="AD12" i="24"/>
  <c r="AD11" i="24"/>
  <c r="AD10" i="24"/>
  <c r="AD3" i="24"/>
  <c r="AE27" i="24"/>
  <c r="AE26" i="24"/>
  <c r="AE25" i="24"/>
  <c r="AE24" i="24"/>
  <c r="AE23" i="24"/>
  <c r="AE22" i="24"/>
  <c r="AE21" i="24"/>
  <c r="AE20" i="24"/>
  <c r="AE19" i="24"/>
  <c r="AE18" i="24"/>
  <c r="AE17" i="24"/>
  <c r="AE16" i="24"/>
  <c r="AE15" i="24"/>
  <c r="AE14" i="24"/>
  <c r="AE13" i="24"/>
  <c r="AE12" i="24"/>
  <c r="AE11" i="24"/>
  <c r="AE10" i="24"/>
  <c r="AE9" i="24"/>
  <c r="AE8" i="24"/>
  <c r="AE7" i="24"/>
  <c r="AE6" i="24"/>
  <c r="AE5" i="24"/>
  <c r="AE4" i="24"/>
  <c r="AE3" i="24"/>
  <c r="AF27" i="24"/>
  <c r="AF26" i="24"/>
  <c r="AF25" i="24"/>
  <c r="AF24" i="24"/>
  <c r="AF23" i="24"/>
  <c r="AF22" i="24"/>
  <c r="AF21" i="24"/>
  <c r="AF20" i="24"/>
  <c r="AF19" i="24"/>
  <c r="AF18" i="24"/>
  <c r="AF17" i="24"/>
  <c r="AF16" i="24"/>
  <c r="AF15" i="24"/>
  <c r="AF14" i="24"/>
  <c r="AF13" i="24"/>
  <c r="AF12" i="24"/>
  <c r="AF11" i="24"/>
  <c r="AF10" i="24"/>
  <c r="AF9" i="24"/>
  <c r="AF8" i="24"/>
  <c r="AF7" i="24"/>
  <c r="AF6" i="24"/>
  <c r="AF5" i="24"/>
  <c r="AF4" i="24"/>
  <c r="AF3" i="24"/>
  <c r="Z27" i="24"/>
  <c r="Z26" i="24"/>
  <c r="Z25" i="24"/>
  <c r="Z24" i="24"/>
  <c r="Z23" i="24"/>
  <c r="Z22" i="24"/>
  <c r="Z21" i="24"/>
  <c r="Z20" i="24"/>
  <c r="Z19" i="24"/>
  <c r="Z18" i="24"/>
  <c r="Z17" i="24"/>
  <c r="Z16" i="24"/>
  <c r="Z15" i="24"/>
  <c r="Z14" i="24"/>
  <c r="Z13" i="24"/>
  <c r="Z12" i="24"/>
  <c r="Z11" i="24"/>
  <c r="Z10" i="24"/>
  <c r="Z9" i="24"/>
  <c r="Z8" i="24"/>
  <c r="Z7" i="24"/>
  <c r="Z6" i="24"/>
  <c r="Z5" i="24"/>
  <c r="Z4" i="24"/>
  <c r="Z3" i="24"/>
  <c r="Y27" i="24"/>
  <c r="Y26" i="24"/>
  <c r="Y25" i="24"/>
  <c r="Y24" i="24"/>
  <c r="Y23" i="24"/>
  <c r="Y22" i="24"/>
  <c r="Y21" i="24"/>
  <c r="Y20" i="24"/>
  <c r="Y19" i="24"/>
  <c r="Y18" i="24"/>
  <c r="Y17" i="24"/>
  <c r="Y16" i="24"/>
  <c r="Y15" i="24"/>
  <c r="Y14" i="24"/>
  <c r="Y13" i="24"/>
  <c r="Y12" i="24"/>
  <c r="Y11" i="24"/>
  <c r="Y10" i="24"/>
  <c r="Y9" i="24"/>
  <c r="Y8" i="24"/>
  <c r="Y7" i="24"/>
  <c r="Y6" i="24"/>
  <c r="Y5" i="24"/>
  <c r="Y4" i="24"/>
  <c r="Y3" i="24"/>
  <c r="X27" i="24"/>
  <c r="X26" i="24"/>
  <c r="X25" i="24"/>
  <c r="X24" i="24"/>
  <c r="X23" i="24"/>
  <c r="X22" i="24"/>
  <c r="X21" i="24"/>
  <c r="X20" i="24"/>
  <c r="X19" i="24"/>
  <c r="X18" i="24"/>
  <c r="X17" i="24"/>
  <c r="X16" i="24"/>
  <c r="X15" i="24"/>
  <c r="X14" i="24"/>
  <c r="X13" i="24"/>
  <c r="X12" i="24"/>
  <c r="X11" i="24"/>
  <c r="X10" i="24"/>
  <c r="X3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S8" i="24"/>
  <c r="S7" i="24"/>
  <c r="S6" i="24"/>
  <c r="S5" i="24"/>
  <c r="S4" i="24"/>
  <c r="S3" i="24"/>
  <c r="T27" i="24"/>
  <c r="T26" i="24"/>
  <c r="T25" i="24"/>
  <c r="T24" i="24"/>
  <c r="T23" i="24"/>
  <c r="T22" i="24"/>
  <c r="T21" i="24"/>
  <c r="T20" i="24"/>
  <c r="T19" i="24"/>
  <c r="T18" i="24"/>
  <c r="T17" i="24"/>
  <c r="T16" i="24"/>
  <c r="T15" i="24"/>
  <c r="T14" i="24"/>
  <c r="T13" i="24"/>
  <c r="T12" i="24"/>
  <c r="T11" i="24"/>
  <c r="T10" i="24"/>
  <c r="T9" i="24"/>
  <c r="T8" i="24"/>
  <c r="T7" i="24"/>
  <c r="T6" i="24"/>
  <c r="T5" i="24"/>
  <c r="T4" i="24"/>
  <c r="T3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5" i="24"/>
  <c r="N4" i="24"/>
  <c r="N3" i="24"/>
  <c r="M27" i="24"/>
  <c r="M26" i="24"/>
  <c r="M25" i="24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M9" i="24"/>
  <c r="M8" i="24"/>
  <c r="M7" i="24"/>
  <c r="M6" i="24"/>
  <c r="M5" i="24"/>
  <c r="M4" i="24"/>
  <c r="M3" i="24"/>
  <c r="R27" i="24"/>
  <c r="R26" i="24"/>
  <c r="R25" i="24"/>
  <c r="R24" i="24"/>
  <c r="R23" i="24"/>
  <c r="R22" i="24"/>
  <c r="R21" i="24"/>
  <c r="R20" i="24"/>
  <c r="R19" i="24"/>
  <c r="R18" i="24"/>
  <c r="R17" i="24"/>
  <c r="R16" i="24"/>
  <c r="R15" i="24"/>
  <c r="R14" i="24"/>
  <c r="R13" i="24"/>
  <c r="R12" i="24"/>
  <c r="R11" i="24"/>
  <c r="R10" i="24"/>
  <c r="R3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E43" i="22"/>
  <c r="E39" i="22"/>
  <c r="E41" i="22" s="1"/>
  <c r="E1" i="22"/>
  <c r="H16" i="24" l="1"/>
  <c r="H21" i="24"/>
  <c r="H6" i="24"/>
  <c r="H10" i="24"/>
  <c r="H14" i="24"/>
  <c r="H26" i="24"/>
  <c r="H27" i="24"/>
  <c r="H16" i="25" s="1"/>
  <c r="H25" i="24"/>
  <c r="H34" i="25" s="1"/>
  <c r="H24" i="24"/>
  <c r="H23" i="24"/>
  <c r="H22" i="24"/>
  <c r="H20" i="24"/>
  <c r="H19" i="24"/>
  <c r="H18" i="24"/>
  <c r="H17" i="24"/>
  <c r="H15" i="24"/>
  <c r="H13" i="24"/>
  <c r="H12" i="24"/>
  <c r="H9" i="25" s="1"/>
  <c r="H11" i="24"/>
  <c r="H7" i="25" s="1"/>
  <c r="H9" i="24"/>
  <c r="H8" i="24"/>
  <c r="H7" i="24"/>
  <c r="H5" i="24"/>
  <c r="H4" i="24"/>
  <c r="H21" i="25" s="1"/>
  <c r="H3" i="24"/>
  <c r="B45" i="22"/>
  <c r="D1" i="23" s="1"/>
  <c r="W25" i="24"/>
  <c r="AC25" i="24"/>
  <c r="Q24" i="24"/>
  <c r="Q25" i="24"/>
  <c r="AC23" i="24"/>
  <c r="AC27" i="24"/>
  <c r="AC26" i="24"/>
  <c r="AC24" i="24"/>
  <c r="Q26" i="24"/>
  <c r="Q23" i="24"/>
  <c r="Q27" i="24"/>
  <c r="W26" i="24"/>
  <c r="W24" i="24"/>
  <c r="W23" i="24"/>
  <c r="W27" i="24"/>
  <c r="K16" i="24"/>
  <c r="K20" i="24"/>
  <c r="K23" i="24"/>
  <c r="K10" i="24"/>
  <c r="K12" i="24"/>
  <c r="K18" i="24"/>
  <c r="K26" i="24"/>
  <c r="K15" i="24"/>
  <c r="K24" i="24"/>
  <c r="K25" i="24"/>
  <c r="K17" i="24"/>
  <c r="K14" i="24"/>
  <c r="K19" i="24"/>
  <c r="K21" i="24"/>
  <c r="K11" i="24"/>
  <c r="K13" i="24"/>
  <c r="K22" i="24"/>
  <c r="K27" i="24"/>
  <c r="L3" i="24"/>
  <c r="H8" i="25" l="1"/>
  <c r="H29" i="25"/>
  <c r="H26" i="25"/>
  <c r="H3" i="25"/>
  <c r="H15" i="25"/>
  <c r="H33" i="25"/>
  <c r="H11" i="25"/>
  <c r="H17" i="25"/>
  <c r="H31" i="25"/>
  <c r="G23" i="24"/>
  <c r="G26" i="24"/>
  <c r="G11" i="25" s="1"/>
  <c r="G27" i="24"/>
  <c r="G25" i="24"/>
  <c r="G24" i="24"/>
  <c r="F6" i="64"/>
  <c r="F7" i="64"/>
  <c r="E7" i="64"/>
  <c r="E6" i="64"/>
  <c r="G5" i="64"/>
  <c r="G7" i="64"/>
  <c r="G9" i="64"/>
  <c r="G11" i="64"/>
  <c r="G13" i="64"/>
  <c r="G15" i="64"/>
  <c r="G17" i="64"/>
  <c r="G19" i="64"/>
  <c r="G21" i="64"/>
  <c r="G23" i="64"/>
  <c r="G25" i="64"/>
  <c r="G27" i="64"/>
  <c r="G29" i="64"/>
  <c r="H3" i="64"/>
  <c r="H5" i="64"/>
  <c r="G8" i="64"/>
  <c r="H10" i="64"/>
  <c r="H13" i="64"/>
  <c r="G16" i="64"/>
  <c r="H18" i="64"/>
  <c r="H21" i="64"/>
  <c r="G24" i="64"/>
  <c r="H26" i="64"/>
  <c r="H29" i="64"/>
  <c r="G6" i="64"/>
  <c r="H8" i="64"/>
  <c r="H11" i="64"/>
  <c r="G14" i="64"/>
  <c r="H16" i="64"/>
  <c r="H19" i="64"/>
  <c r="G22" i="64"/>
  <c r="H24" i="64"/>
  <c r="H27" i="64"/>
  <c r="G30" i="64"/>
  <c r="H6" i="64"/>
  <c r="G12" i="64"/>
  <c r="H17" i="64"/>
  <c r="H22" i="64"/>
  <c r="G28" i="64"/>
  <c r="H7" i="64"/>
  <c r="H12" i="64"/>
  <c r="G18" i="64"/>
  <c r="H23" i="64"/>
  <c r="H28" i="64"/>
  <c r="G4" i="64"/>
  <c r="H9" i="64"/>
  <c r="H14" i="64"/>
  <c r="G20" i="64"/>
  <c r="H25" i="64"/>
  <c r="H30" i="64"/>
  <c r="H4" i="64"/>
  <c r="G10" i="64"/>
  <c r="H15" i="64"/>
  <c r="H20" i="64"/>
  <c r="G26" i="64"/>
  <c r="G3" i="64"/>
  <c r="I5" i="64"/>
  <c r="I7" i="64"/>
  <c r="I9" i="64"/>
  <c r="I11" i="64"/>
  <c r="I13" i="64"/>
  <c r="I15" i="64"/>
  <c r="I17" i="64"/>
  <c r="I19" i="64"/>
  <c r="I21" i="64"/>
  <c r="I23" i="64"/>
  <c r="I25" i="64"/>
  <c r="I27" i="64"/>
  <c r="I29" i="64"/>
  <c r="J3" i="64"/>
  <c r="I4" i="64"/>
  <c r="J6" i="64"/>
  <c r="J9" i="64"/>
  <c r="I12" i="64"/>
  <c r="J14" i="64"/>
  <c r="J17" i="64"/>
  <c r="I20" i="64"/>
  <c r="J22" i="64"/>
  <c r="J25" i="64"/>
  <c r="I28" i="64"/>
  <c r="J30" i="64"/>
  <c r="J4" i="64"/>
  <c r="J7" i="64"/>
  <c r="I10" i="64"/>
  <c r="J12" i="64"/>
  <c r="J15" i="64"/>
  <c r="I18" i="64"/>
  <c r="J20" i="64"/>
  <c r="J23" i="64"/>
  <c r="I26" i="64"/>
  <c r="J28" i="64"/>
  <c r="I3" i="64"/>
  <c r="I8" i="64"/>
  <c r="J13" i="64"/>
  <c r="J18" i="64"/>
  <c r="I24" i="64"/>
  <c r="J29" i="64"/>
  <c r="J8" i="64"/>
  <c r="I14" i="64"/>
  <c r="J19" i="64"/>
  <c r="J24" i="64"/>
  <c r="I30" i="64"/>
  <c r="J5" i="64"/>
  <c r="J10" i="64"/>
  <c r="I16" i="64"/>
  <c r="J21" i="64"/>
  <c r="J26" i="64"/>
  <c r="I6" i="64"/>
  <c r="J11" i="64"/>
  <c r="J16" i="64"/>
  <c r="I22" i="64"/>
  <c r="J27" i="64"/>
  <c r="D3" i="64"/>
  <c r="D4" i="64"/>
  <c r="D6" i="64"/>
  <c r="D8" i="64"/>
  <c r="D10" i="64"/>
  <c r="D12" i="64"/>
  <c r="D14" i="64"/>
  <c r="D16" i="64"/>
  <c r="D18" i="64"/>
  <c r="D20" i="64"/>
  <c r="D22" i="64"/>
  <c r="D24" i="64"/>
  <c r="D26" i="64"/>
  <c r="D28" i="64"/>
  <c r="C3" i="64"/>
  <c r="C5" i="64"/>
  <c r="C7" i="64"/>
  <c r="C9" i="64"/>
  <c r="C11" i="64"/>
  <c r="C13" i="64"/>
  <c r="C15" i="64"/>
  <c r="C17" i="64"/>
  <c r="D7" i="64"/>
  <c r="D11" i="64"/>
  <c r="D15" i="64"/>
  <c r="C19" i="64"/>
  <c r="D21" i="64"/>
  <c r="C24" i="64"/>
  <c r="C27" i="64"/>
  <c r="D29" i="64"/>
  <c r="C4" i="64"/>
  <c r="C8" i="64"/>
  <c r="C12" i="64"/>
  <c r="C16" i="64"/>
  <c r="D19" i="64"/>
  <c r="C22" i="64"/>
  <c r="C25" i="64"/>
  <c r="D27" i="64"/>
  <c r="D5" i="64"/>
  <c r="D9" i="64"/>
  <c r="D13" i="64"/>
  <c r="D17" i="64"/>
  <c r="C20" i="64"/>
  <c r="C23" i="64"/>
  <c r="D25" i="64"/>
  <c r="C28" i="64"/>
  <c r="C6" i="64"/>
  <c r="C10" i="64"/>
  <c r="C14" i="64"/>
  <c r="C18" i="64"/>
  <c r="C21" i="64"/>
  <c r="D23" i="64"/>
  <c r="C26" i="64"/>
  <c r="C29" i="64"/>
  <c r="E5" i="64"/>
  <c r="E9" i="64"/>
  <c r="E11" i="64"/>
  <c r="E13" i="64"/>
  <c r="E15" i="64"/>
  <c r="E17" i="64"/>
  <c r="E19" i="64"/>
  <c r="E21" i="64"/>
  <c r="E23" i="64"/>
  <c r="E25" i="64"/>
  <c r="E27" i="64"/>
  <c r="E29" i="64"/>
  <c r="F3" i="64"/>
  <c r="E4" i="64"/>
  <c r="F8" i="64"/>
  <c r="F11" i="64"/>
  <c r="E14" i="64"/>
  <c r="F16" i="64"/>
  <c r="F19" i="64"/>
  <c r="E22" i="64"/>
  <c r="F24" i="64"/>
  <c r="F27" i="64"/>
  <c r="E30" i="64"/>
  <c r="F4" i="64"/>
  <c r="F9" i="64"/>
  <c r="E12" i="64"/>
  <c r="F14" i="64"/>
  <c r="F17" i="64"/>
  <c r="E20" i="64"/>
  <c r="F22" i="64"/>
  <c r="F25" i="64"/>
  <c r="E28" i="64"/>
  <c r="F30" i="64"/>
  <c r="F5" i="64"/>
  <c r="F12" i="64"/>
  <c r="E18" i="64"/>
  <c r="F23" i="64"/>
  <c r="F28" i="64"/>
  <c r="E8" i="64"/>
  <c r="F13" i="64"/>
  <c r="F18" i="64"/>
  <c r="E24" i="64"/>
  <c r="F29" i="64"/>
  <c r="E10" i="64"/>
  <c r="F15" i="64"/>
  <c r="F20" i="64"/>
  <c r="E26" i="64"/>
  <c r="E3" i="64"/>
  <c r="F10" i="64"/>
  <c r="E16" i="64"/>
  <c r="F21" i="64"/>
  <c r="F26" i="64"/>
  <c r="D30" i="64"/>
  <c r="F36" i="64" l="1"/>
  <c r="I36" i="64"/>
  <c r="C36" i="64"/>
  <c r="E36" i="64"/>
  <c r="H36" i="64"/>
  <c r="D36" i="64"/>
  <c r="G36" i="64"/>
  <c r="K3" i="64"/>
  <c r="K28" i="64"/>
  <c r="K29" i="64"/>
  <c r="K30" i="64"/>
  <c r="K21" i="64"/>
  <c r="K6" i="64"/>
  <c r="K4" i="64"/>
  <c r="K11" i="64"/>
  <c r="K20" i="64"/>
  <c r="K18" i="64"/>
  <c r="K16" i="64"/>
  <c r="K19" i="64"/>
  <c r="K17" i="64"/>
  <c r="K9" i="64"/>
  <c r="J36" i="64"/>
  <c r="K26" i="64"/>
  <c r="K14" i="64"/>
  <c r="K25" i="64"/>
  <c r="K12" i="64"/>
  <c r="K27" i="64"/>
  <c r="K15" i="64"/>
  <c r="K10" i="64"/>
  <c r="K23" i="64"/>
  <c r="K22" i="64"/>
  <c r="K8" i="64"/>
  <c r="K13" i="64"/>
  <c r="K5" i="64"/>
  <c r="K24" i="64"/>
  <c r="K7" i="64"/>
  <c r="F6" i="25"/>
  <c r="H41" i="7"/>
  <c r="AD9" i="24" s="1"/>
  <c r="G41" i="7"/>
  <c r="F41" i="7"/>
  <c r="X9" i="24" s="1"/>
  <c r="E41" i="7"/>
  <c r="D41" i="7"/>
  <c r="R9" i="24" s="1"/>
  <c r="C41" i="7"/>
  <c r="H41" i="6"/>
  <c r="AD8" i="24" s="1"/>
  <c r="G41" i="6"/>
  <c r="F41" i="6"/>
  <c r="X8" i="24" s="1"/>
  <c r="E41" i="6"/>
  <c r="D41" i="6"/>
  <c r="R8" i="24" s="1"/>
  <c r="Q8" i="24" s="1"/>
  <c r="C41" i="6"/>
  <c r="H41" i="5"/>
  <c r="AD7" i="24" s="1"/>
  <c r="G41" i="5"/>
  <c r="F41" i="5"/>
  <c r="X7" i="24" s="1"/>
  <c r="E41" i="5"/>
  <c r="D41" i="5"/>
  <c r="R7" i="24" s="1"/>
  <c r="C41" i="5"/>
  <c r="H41" i="4"/>
  <c r="AD6" i="24" s="1"/>
  <c r="G41" i="4"/>
  <c r="F41" i="4"/>
  <c r="X6" i="24" s="1"/>
  <c r="E41" i="4"/>
  <c r="D41" i="4"/>
  <c r="R6" i="24" s="1"/>
  <c r="C41" i="4"/>
  <c r="H41" i="3"/>
  <c r="AD5" i="24" s="1"/>
  <c r="G41" i="3"/>
  <c r="F41" i="3"/>
  <c r="X5" i="24" s="1"/>
  <c r="E41" i="3"/>
  <c r="D41" i="3"/>
  <c r="R5" i="24" s="1"/>
  <c r="C41" i="3"/>
  <c r="H41" i="2"/>
  <c r="AD4" i="24" s="1"/>
  <c r="G41" i="2"/>
  <c r="F41" i="2"/>
  <c r="X4" i="24" s="1"/>
  <c r="E41" i="2"/>
  <c r="D41" i="2"/>
  <c r="R4" i="24" s="1"/>
  <c r="C41" i="2"/>
  <c r="L4" i="24"/>
  <c r="B41" i="7"/>
  <c r="L9" i="24" s="1"/>
  <c r="A41" i="7"/>
  <c r="B41" i="6"/>
  <c r="L8" i="24" s="1"/>
  <c r="A41" i="6"/>
  <c r="B41" i="5"/>
  <c r="L7" i="24" s="1"/>
  <c r="A41" i="5"/>
  <c r="B41" i="4"/>
  <c r="L6" i="24" s="1"/>
  <c r="A41" i="4"/>
  <c r="B41" i="3"/>
  <c r="L5" i="24" s="1"/>
  <c r="A41" i="3"/>
  <c r="K36" i="64" l="1"/>
  <c r="Q4" i="24"/>
  <c r="K8" i="24"/>
  <c r="K7" i="24"/>
  <c r="Q9" i="24"/>
  <c r="K5" i="24"/>
  <c r="Q20" i="24"/>
  <c r="Q15" i="24"/>
  <c r="Q17" i="24"/>
  <c r="Q18" i="24"/>
  <c r="Q16" i="24"/>
  <c r="Q13" i="24"/>
  <c r="H5" i="25"/>
  <c r="Q10" i="24"/>
  <c r="B41" i="22"/>
  <c r="Q22" i="24"/>
  <c r="Q21" i="24"/>
  <c r="Q19" i="24"/>
  <c r="H22" i="25"/>
  <c r="Q14" i="24"/>
  <c r="Q12" i="24"/>
  <c r="Q11" i="24"/>
  <c r="K9" i="24"/>
  <c r="Q7" i="24"/>
  <c r="K6" i="24"/>
  <c r="Q6" i="24"/>
  <c r="Q5" i="24"/>
  <c r="K4" i="24"/>
  <c r="Q3" i="24"/>
  <c r="H20" i="25"/>
  <c r="H28" i="25"/>
  <c r="H27" i="25"/>
  <c r="H36" i="25"/>
  <c r="H35" i="25"/>
  <c r="H19" i="25"/>
  <c r="H10" i="25"/>
  <c r="H4" i="25"/>
  <c r="H23" i="25"/>
  <c r="H32" i="25"/>
  <c r="H30" i="25"/>
  <c r="H25" i="25"/>
  <c r="H24" i="25"/>
  <c r="H13" i="25"/>
  <c r="H18" i="25"/>
  <c r="H14" i="25"/>
  <c r="H12" i="25"/>
  <c r="AC5" i="24"/>
  <c r="AC16" i="24"/>
  <c r="AC11" i="24"/>
  <c r="AC22" i="24"/>
  <c r="W18" i="24"/>
  <c r="AC10" i="24"/>
  <c r="AC21" i="24"/>
  <c r="W5" i="24"/>
  <c r="W13" i="24"/>
  <c r="AC18" i="24"/>
  <c r="AC9" i="24"/>
  <c r="AC13" i="24"/>
  <c r="AC17" i="24"/>
  <c r="AC8" i="24"/>
  <c r="AC12" i="24"/>
  <c r="AC15" i="24"/>
  <c r="AC19" i="24"/>
  <c r="AC20" i="24"/>
  <c r="W3" i="24"/>
  <c r="AC7" i="24"/>
  <c r="AC14" i="24"/>
  <c r="AC3" i="24"/>
  <c r="AC4" i="24"/>
  <c r="AC6" i="24"/>
  <c r="W17" i="24"/>
  <c r="W21" i="24"/>
  <c r="W11" i="24"/>
  <c r="W15" i="24"/>
  <c r="W19" i="24"/>
  <c r="W6" i="24"/>
  <c r="W10" i="24"/>
  <c r="W14" i="24"/>
  <c r="W22" i="24"/>
  <c r="W12" i="24"/>
  <c r="W4" i="24"/>
  <c r="W8" i="24"/>
  <c r="W16" i="24"/>
  <c r="W20" i="24"/>
  <c r="W7" i="24"/>
  <c r="W9" i="24"/>
  <c r="V16" i="24" l="1"/>
  <c r="AB14" i="24"/>
  <c r="P5" i="24"/>
  <c r="P16" i="24"/>
  <c r="V22" i="24"/>
  <c r="V17" i="24"/>
  <c r="P20" i="24"/>
  <c r="V9" i="24"/>
  <c r="V8" i="24"/>
  <c r="V15" i="24"/>
  <c r="AB7" i="24"/>
  <c r="AB13" i="24"/>
  <c r="V5" i="24"/>
  <c r="P10" i="24"/>
  <c r="P4" i="24"/>
  <c r="V7" i="24"/>
  <c r="V10" i="24"/>
  <c r="AB4" i="24"/>
  <c r="V3" i="24"/>
  <c r="AB12" i="24"/>
  <c r="AB9" i="24"/>
  <c r="AB21" i="24"/>
  <c r="AB34" i="24"/>
  <c r="AB11" i="24"/>
  <c r="AB33" i="24"/>
  <c r="AB31" i="24"/>
  <c r="AB35" i="24"/>
  <c r="AB29" i="24"/>
  <c r="AB36" i="24"/>
  <c r="AB32" i="24"/>
  <c r="AB30" i="24"/>
  <c r="AB28" i="24"/>
  <c r="AB24" i="24"/>
  <c r="AB26" i="24"/>
  <c r="AB23" i="24"/>
  <c r="AB27" i="24"/>
  <c r="P3" i="24"/>
  <c r="P12" i="24"/>
  <c r="P21" i="24"/>
  <c r="P17" i="24"/>
  <c r="P9" i="24"/>
  <c r="AB17" i="24"/>
  <c r="V13" i="24"/>
  <c r="AB5" i="24"/>
  <c r="V14" i="24"/>
  <c r="AB6" i="24"/>
  <c r="AB15" i="24"/>
  <c r="AB22" i="24"/>
  <c r="P6" i="24"/>
  <c r="P35" i="24"/>
  <c r="P11" i="24"/>
  <c r="P28" i="24"/>
  <c r="P34" i="24"/>
  <c r="P32" i="24"/>
  <c r="P30" i="24"/>
  <c r="P36" i="24"/>
  <c r="P29" i="24"/>
  <c r="P31" i="24"/>
  <c r="P33" i="24"/>
  <c r="P27" i="24"/>
  <c r="P26" i="24"/>
  <c r="P24" i="24"/>
  <c r="P23" i="24"/>
  <c r="V4" i="24"/>
  <c r="V11" i="24"/>
  <c r="V36" i="24"/>
  <c r="V29" i="24"/>
  <c r="V33" i="24"/>
  <c r="V35" i="24"/>
  <c r="V34" i="24"/>
  <c r="V31" i="24"/>
  <c r="V28" i="24"/>
  <c r="V30" i="24"/>
  <c r="V32" i="24"/>
  <c r="V26" i="24"/>
  <c r="V24" i="24"/>
  <c r="V23" i="24"/>
  <c r="V27" i="24"/>
  <c r="V20" i="24"/>
  <c r="V12" i="24"/>
  <c r="V6" i="24"/>
  <c r="V21" i="24"/>
  <c r="AB3" i="24"/>
  <c r="AB20" i="24"/>
  <c r="AB8" i="24"/>
  <c r="AB10" i="24"/>
  <c r="AB16" i="24"/>
  <c r="P7" i="24"/>
  <c r="P14" i="24"/>
  <c r="P22" i="24"/>
  <c r="P13" i="24"/>
  <c r="P15" i="24"/>
  <c r="P8" i="24"/>
  <c r="G19" i="24"/>
  <c r="G17" i="24"/>
  <c r="G16" i="24"/>
  <c r="G22" i="24"/>
  <c r="G21" i="24"/>
  <c r="G20" i="24"/>
  <c r="G18" i="24"/>
  <c r="G15" i="24"/>
  <c r="G14" i="24"/>
  <c r="G13" i="24"/>
  <c r="G12" i="24"/>
  <c r="G11" i="24"/>
  <c r="G7" i="25" s="1"/>
  <c r="G10" i="24"/>
  <c r="G9" i="24"/>
  <c r="G25" i="25" s="1"/>
  <c r="G8" i="24"/>
  <c r="G7" i="24"/>
  <c r="G13" i="25" s="1"/>
  <c r="G6" i="24"/>
  <c r="G5" i="24"/>
  <c r="G4" i="24"/>
  <c r="G10" i="25"/>
  <c r="H6" i="25"/>
  <c r="H39" i="25" s="1"/>
  <c r="G36" i="25"/>
  <c r="K3" i="24"/>
  <c r="J3" i="24" s="1"/>
  <c r="D41" i="23"/>
  <c r="G29" i="25" l="1"/>
  <c r="G35" i="25"/>
  <c r="G3" i="25"/>
  <c r="G15" i="25"/>
  <c r="G33" i="25"/>
  <c r="G14" i="25"/>
  <c r="G22" i="25"/>
  <c r="G34" i="25"/>
  <c r="H38" i="25"/>
  <c r="G27" i="25"/>
  <c r="G26" i="25"/>
  <c r="G12" i="25"/>
  <c r="G21" i="25"/>
  <c r="G23" i="25"/>
  <c r="G9" i="25"/>
  <c r="J21" i="24"/>
  <c r="E21" i="24" s="1"/>
  <c r="J17" i="24"/>
  <c r="J10" i="24"/>
  <c r="E10" i="24" s="1"/>
  <c r="J34" i="24"/>
  <c r="E34" i="24" s="1"/>
  <c r="J29" i="24"/>
  <c r="E29" i="24" s="1"/>
  <c r="J7" i="24"/>
  <c r="E7" i="24" s="1"/>
  <c r="G5" i="25"/>
  <c r="G8" i="25"/>
  <c r="J28" i="24"/>
  <c r="E28" i="24" s="1"/>
  <c r="J13" i="24"/>
  <c r="J33" i="24"/>
  <c r="E33" i="24" s="1"/>
  <c r="J9" i="24"/>
  <c r="E9" i="24" s="1"/>
  <c r="G18" i="25"/>
  <c r="G4" i="25"/>
  <c r="G17" i="25"/>
  <c r="J11" i="24"/>
  <c r="E11" i="24" s="1"/>
  <c r="J12" i="24"/>
  <c r="E12" i="24" s="1"/>
  <c r="J31" i="24"/>
  <c r="J30" i="24"/>
  <c r="E30" i="24" s="1"/>
  <c r="J23" i="24"/>
  <c r="J14" i="24"/>
  <c r="E14" i="24" s="1"/>
  <c r="J4" i="24"/>
  <c r="E4" i="24" s="1"/>
  <c r="J8" i="24"/>
  <c r="E8" i="24" s="1"/>
  <c r="J6" i="24"/>
  <c r="E6" i="24" s="1"/>
  <c r="G24" i="25"/>
  <c r="G16" i="25"/>
  <c r="J26" i="24"/>
  <c r="J5" i="24"/>
  <c r="E5" i="24" s="1"/>
  <c r="J24" i="24"/>
  <c r="J15" i="24"/>
  <c r="E15" i="24" s="1"/>
  <c r="J35" i="24"/>
  <c r="E35" i="24" s="1"/>
  <c r="G32" i="25"/>
  <c r="G20" i="25"/>
  <c r="G31" i="25"/>
  <c r="J16" i="24"/>
  <c r="E16" i="24" s="1"/>
  <c r="J27" i="24"/>
  <c r="E27" i="24" s="1"/>
  <c r="J22" i="24"/>
  <c r="E22" i="24" s="1"/>
  <c r="J36" i="24"/>
  <c r="E36" i="24" s="1"/>
  <c r="J32" i="24"/>
  <c r="E32" i="24" s="1"/>
  <c r="J20" i="24"/>
  <c r="E20" i="24" s="1"/>
  <c r="E31" i="24"/>
  <c r="G3" i="24"/>
  <c r="G28" i="25" s="1"/>
  <c r="E13" i="24"/>
  <c r="E3" i="24"/>
  <c r="E17" i="24"/>
  <c r="E19" i="24"/>
  <c r="E18" i="24"/>
  <c r="E41" i="23"/>
  <c r="G30" i="25" l="1"/>
  <c r="G19" i="25"/>
  <c r="E26" i="25"/>
  <c r="E9" i="25"/>
  <c r="E21" i="25"/>
  <c r="E7" i="25"/>
  <c r="E17" i="25"/>
  <c r="E3" i="25"/>
  <c r="E23" i="24"/>
  <c r="E23" i="25" s="1"/>
  <c r="E26" i="24"/>
  <c r="E5" i="25" s="1"/>
  <c r="E24" i="24"/>
  <c r="E25" i="24"/>
  <c r="E15" i="25" s="1"/>
  <c r="E14" i="25"/>
  <c r="E20" i="25"/>
  <c r="E35" i="25"/>
  <c r="E4" i="25"/>
  <c r="E30" i="25"/>
  <c r="E12" i="25"/>
  <c r="E27" i="25"/>
  <c r="E10" i="25"/>
  <c r="E25" i="25"/>
  <c r="E36" i="25"/>
  <c r="E24" i="25"/>
  <c r="E19" i="25"/>
  <c r="E22" i="25"/>
  <c r="E18" i="25"/>
  <c r="E32" i="25"/>
  <c r="E28" i="25"/>
  <c r="F41" i="23"/>
  <c r="G41" i="23"/>
  <c r="E8" i="25" l="1"/>
  <c r="E13" i="25"/>
  <c r="E29" i="25"/>
  <c r="E16" i="25"/>
  <c r="A21" i="24"/>
  <c r="A10" i="24"/>
  <c r="A17" i="24"/>
  <c r="A13" i="24"/>
  <c r="A33" i="24"/>
  <c r="A31" i="24"/>
  <c r="A22" i="24"/>
  <c r="A36" i="24"/>
  <c r="E33" i="25"/>
  <c r="A23" i="24"/>
  <c r="A9" i="24"/>
  <c r="A6" i="24"/>
  <c r="A15" i="24"/>
  <c r="A29" i="24"/>
  <c r="A4" i="24"/>
  <c r="A12" i="24"/>
  <c r="E31" i="25"/>
  <c r="A24" i="24"/>
  <c r="A18" i="24"/>
  <c r="A34" i="24"/>
  <c r="A16" i="24"/>
  <c r="E11" i="25"/>
  <c r="A26" i="24"/>
  <c r="A27" i="24"/>
  <c r="A7" i="24"/>
  <c r="A19" i="24"/>
  <c r="E34" i="25"/>
  <c r="A25" i="24"/>
  <c r="A35" i="24"/>
  <c r="A30" i="24"/>
  <c r="A8" i="24"/>
  <c r="A32" i="24"/>
  <c r="A3" i="24"/>
  <c r="A28" i="24"/>
  <c r="A11" i="24"/>
  <c r="A5" i="24"/>
  <c r="A14" i="24"/>
  <c r="A20" i="24"/>
  <c r="G6" i="25"/>
  <c r="E6" i="25" l="1"/>
</calcChain>
</file>

<file path=xl/sharedStrings.xml><?xml version="1.0" encoding="utf-8"?>
<sst xmlns="http://schemas.openxmlformats.org/spreadsheetml/2006/main" count="966" uniqueCount="86">
  <si>
    <t>ordre</t>
  </si>
  <si>
    <t>tirage</t>
  </si>
  <si>
    <t>Angler 1</t>
  </si>
  <si>
    <t>pêcheurs</t>
  </si>
  <si>
    <t>PAS</t>
  </si>
  <si>
    <t>saut</t>
  </si>
  <si>
    <t>manche 1</t>
  </si>
  <si>
    <t>manche 2</t>
  </si>
  <si>
    <t>manche 3</t>
  </si>
  <si>
    <t>manche 4</t>
  </si>
  <si>
    <t xml:space="preserve"> </t>
  </si>
  <si>
    <t xml:space="preserve">manche 2 </t>
  </si>
  <si>
    <t>Rank</t>
  </si>
  <si>
    <t>Points</t>
  </si>
  <si>
    <t>Nombre de poissons</t>
  </si>
  <si>
    <t>Moyenne</t>
  </si>
  <si>
    <t>PECHEUR</t>
  </si>
  <si>
    <t>MANCHE 1</t>
  </si>
  <si>
    <t>MANCHE 2</t>
  </si>
  <si>
    <t>MANCHE 3</t>
  </si>
  <si>
    <t>MANCHE 4</t>
  </si>
  <si>
    <t>poisson</t>
  </si>
  <si>
    <t>longueur</t>
  </si>
  <si>
    <t>A</t>
  </si>
  <si>
    <t>S</t>
  </si>
  <si>
    <t>Salmonidés</t>
  </si>
  <si>
    <t>Autres</t>
  </si>
  <si>
    <t>mm</t>
  </si>
  <si>
    <t>Points places</t>
  </si>
  <si>
    <t>CLASSEMENT</t>
  </si>
  <si>
    <t>Poissons</t>
  </si>
  <si>
    <t>Penalités</t>
  </si>
  <si>
    <t>P</t>
  </si>
  <si>
    <t>Catégorie</t>
  </si>
  <si>
    <t>Nombre inscrits seniors</t>
  </si>
  <si>
    <t>Valeur capot seniors</t>
  </si>
  <si>
    <t>Nombre present seniors</t>
  </si>
  <si>
    <t>Nombre inscrits juniors</t>
  </si>
  <si>
    <t>Valeur capot juniors</t>
  </si>
  <si>
    <t>Nombre present juniors</t>
  </si>
  <si>
    <t>Nombre total pecheurs présents</t>
  </si>
  <si>
    <t>Cat</t>
  </si>
  <si>
    <t>Poste</t>
  </si>
  <si>
    <t>points places</t>
  </si>
  <si>
    <t>N° Poste</t>
  </si>
  <si>
    <t>Total</t>
  </si>
  <si>
    <t>Salmo</t>
  </si>
  <si>
    <t>Manche 1</t>
  </si>
  <si>
    <t>Manche 2</t>
  </si>
  <si>
    <t>Manche 3</t>
  </si>
  <si>
    <t>Manche 4</t>
  </si>
  <si>
    <t>Adam Christophe</t>
  </si>
  <si>
    <t>Aguado Nicolas</t>
  </si>
  <si>
    <t>Bebelmans Ghislain</t>
  </si>
  <si>
    <t>Bracco Ludovic</t>
  </si>
  <si>
    <t>Briquemont Mathias</t>
  </si>
  <si>
    <t>Bruninx Jean-Luc</t>
  </si>
  <si>
    <t>Coquette Arthur</t>
  </si>
  <si>
    <t>Cougnet  Ludovic</t>
  </si>
  <si>
    <t>Curvers Maxime</t>
  </si>
  <si>
    <t>DelFrari Romano</t>
  </si>
  <si>
    <t>Delhasse Jacques</t>
  </si>
  <si>
    <t>Dequinze Benoit</t>
  </si>
  <si>
    <t>Destiné Martin</t>
  </si>
  <si>
    <t>Devooght Giani</t>
  </si>
  <si>
    <t>DiMarco David</t>
  </si>
  <si>
    <t>Dockier Fabrice</t>
  </si>
  <si>
    <t>Dupont  Olivier</t>
  </si>
  <si>
    <t>Frison Fabian</t>
  </si>
  <si>
    <t>Gigot Alain</t>
  </si>
  <si>
    <t>Habran Jérémy</t>
  </si>
  <si>
    <t>Henrottin  Christian</t>
  </si>
  <si>
    <t>Hockers  Thierry</t>
  </si>
  <si>
    <t>Jacques Romain</t>
  </si>
  <si>
    <t>Jamagne Thierry</t>
  </si>
  <si>
    <t>Lambert Jacques</t>
  </si>
  <si>
    <t>Leboutte Loïc</t>
  </si>
  <si>
    <t>Lefert Quentin</t>
  </si>
  <si>
    <t>Lorquet Julien</t>
  </si>
  <si>
    <t>Marchais Philippe</t>
  </si>
  <si>
    <t>Mathieu Vincent</t>
  </si>
  <si>
    <t>Mathieu Christian</t>
  </si>
  <si>
    <t>Ruisseau Olivier</t>
  </si>
  <si>
    <t>Sabaut Serge</t>
  </si>
  <si>
    <t>Saive Thibault</t>
  </si>
  <si>
    <t>PGP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</si>
</sst>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</numFmts>
  <fonts count="18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rgb="FF303030"/>
      <name val="Arial"/>
      <family val="2"/>
    </font>
    <font>
      <sz val="10"/>
      <color rgb="FF333333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35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4" xfId="0" applyFont="1" applyBorder="1"/>
    <xf numFmtId="0" fontId="7" fillId="0" borderId="4" xfId="0" applyFont="1" applyBorder="1" applyProtection="1"/>
    <xf numFmtId="0" fontId="6" fillId="0" borderId="0" xfId="0" applyFont="1" applyAlignment="1">
      <alignment horizontal="right"/>
    </xf>
    <xf numFmtId="0" fontId="9" fillId="0" borderId="4" xfId="2" applyFont="1" applyBorder="1" applyAlignment="1">
      <alignment horizontal="center"/>
    </xf>
    <xf numFmtId="0" fontId="7" fillId="2" borderId="4" xfId="0" applyFont="1" applyFill="1" applyBorder="1"/>
    <xf numFmtId="0" fontId="6" fillId="0" borderId="4" xfId="0" applyFont="1" applyBorder="1"/>
    <xf numFmtId="0" fontId="9" fillId="0" borderId="0" xfId="2" applyFont="1" applyBorder="1" applyAlignment="1">
      <alignment horizontal="center"/>
    </xf>
    <xf numFmtId="0" fontId="7" fillId="0" borderId="0" xfId="0" applyFont="1" applyFill="1" applyBorder="1"/>
    <xf numFmtId="0" fontId="10" fillId="0" borderId="3" xfId="0" applyFont="1" applyFill="1" applyBorder="1" applyAlignment="1" applyProtection="1">
      <alignment horizontal="left" vertical="center" wrapText="1"/>
    </xf>
    <xf numFmtId="0" fontId="11" fillId="0" borderId="9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/>
    <xf numFmtId="43" fontId="11" fillId="0" borderId="0" xfId="1" applyFont="1" applyBorder="1"/>
    <xf numFmtId="0" fontId="12" fillId="0" borderId="0" xfId="0" applyFont="1" applyBorder="1"/>
    <xf numFmtId="0" fontId="0" fillId="0" borderId="0" xfId="0" applyAlignment="1"/>
    <xf numFmtId="43" fontId="12" fillId="0" borderId="0" xfId="1" applyFont="1" applyBorder="1"/>
    <xf numFmtId="0" fontId="12" fillId="0" borderId="4" xfId="0" applyFont="1" applyBorder="1" applyAlignment="1">
      <alignment horizontal="center"/>
    </xf>
    <xf numFmtId="43" fontId="11" fillId="0" borderId="4" xfId="1" applyFont="1" applyBorder="1"/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0" fontId="2" fillId="4" borderId="4" xfId="0" applyFont="1" applyFill="1" applyBorder="1" applyAlignment="1">
      <alignment horizontal="center"/>
    </xf>
    <xf numFmtId="0" fontId="0" fillId="5" borderId="4" xfId="0" applyFill="1" applyBorder="1"/>
    <xf numFmtId="0" fontId="2" fillId="5" borderId="4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11" fillId="0" borderId="17" xfId="0" applyFont="1" applyBorder="1"/>
    <xf numFmtId="43" fontId="11" fillId="0" borderId="17" xfId="1" applyFont="1" applyBorder="1"/>
    <xf numFmtId="0" fontId="12" fillId="0" borderId="18" xfId="0" applyFont="1" applyBorder="1"/>
    <xf numFmtId="0" fontId="11" fillId="0" borderId="11" xfId="0" applyFont="1" applyBorder="1"/>
    <xf numFmtId="43" fontId="11" fillId="0" borderId="11" xfId="1" applyFont="1" applyBorder="1"/>
    <xf numFmtId="0" fontId="12" fillId="0" borderId="20" xfId="0" applyFont="1" applyBorder="1"/>
    <xf numFmtId="0" fontId="4" fillId="0" borderId="3" xfId="0" applyFont="1" applyFill="1" applyBorder="1" applyAlignment="1" applyProtection="1">
      <alignment horizontal="center" vertical="center" wrapText="1"/>
    </xf>
    <xf numFmtId="0" fontId="7" fillId="0" borderId="4" xfId="2" applyFont="1" applyBorder="1" applyAlignment="1">
      <alignment horizontal="center"/>
    </xf>
    <xf numFmtId="0" fontId="0" fillId="0" borderId="0" xfId="0" applyFont="1"/>
    <xf numFmtId="0" fontId="7" fillId="0" borderId="0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 vertical="center" indent="1"/>
    </xf>
    <xf numFmtId="0" fontId="2" fillId="0" borderId="0" xfId="0" applyFont="1"/>
    <xf numFmtId="0" fontId="12" fillId="0" borderId="2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17" xfId="0" applyFont="1" applyBorder="1" applyAlignment="1">
      <alignment horizontal="center"/>
    </xf>
    <xf numFmtId="164" fontId="11" fillId="0" borderId="4" xfId="1" applyNumberFormat="1" applyFont="1" applyFill="1" applyBorder="1"/>
    <xf numFmtId="164" fontId="11" fillId="0" borderId="4" xfId="1" applyNumberFormat="1" applyFont="1" applyFill="1" applyBorder="1" applyAlignment="1">
      <alignment horizontal="right"/>
    </xf>
    <xf numFmtId="0" fontId="0" fillId="0" borderId="0" xfId="0" applyFill="1"/>
    <xf numFmtId="0" fontId="12" fillId="0" borderId="21" xfId="0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0" fontId="7" fillId="0" borderId="22" xfId="2" applyFont="1" applyFill="1" applyBorder="1" applyAlignment="1">
      <alignment horizontal="center"/>
    </xf>
    <xf numFmtId="164" fontId="12" fillId="0" borderId="7" xfId="1" applyNumberFormat="1" applyFont="1" applyFill="1" applyBorder="1"/>
    <xf numFmtId="0" fontId="15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center"/>
    </xf>
    <xf numFmtId="41" fontId="0" fillId="0" borderId="4" xfId="1" applyNumberFormat="1" applyFont="1" applyBorder="1" applyAlignment="1">
      <alignment horizontal="center"/>
    </xf>
    <xf numFmtId="41" fontId="2" fillId="6" borderId="4" xfId="1" applyNumberFormat="1" applyFont="1" applyFill="1" applyBorder="1"/>
    <xf numFmtId="41" fontId="0" fillId="0" borderId="4" xfId="1" applyNumberFormat="1" applyFont="1" applyBorder="1"/>
    <xf numFmtId="41" fontId="2" fillId="0" borderId="4" xfId="1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4" fontId="12" fillId="0" borderId="7" xfId="0" applyNumberFormat="1" applyFont="1" applyFill="1" applyBorder="1"/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164" fontId="12" fillId="0" borderId="0" xfId="0" applyNumberFormat="1" applyFont="1" applyFill="1" applyBorder="1"/>
    <xf numFmtId="164" fontId="12" fillId="0" borderId="0" xfId="1" applyNumberFormat="1" applyFont="1" applyFill="1" applyBorder="1"/>
    <xf numFmtId="41" fontId="12" fillId="0" borderId="0" xfId="0" applyNumberFormat="1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>
      <alignment horizontal="right"/>
    </xf>
    <xf numFmtId="0" fontId="7" fillId="0" borderId="17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3" borderId="25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41" fontId="12" fillId="0" borderId="28" xfId="0" applyNumberFormat="1" applyFont="1" applyFill="1" applyBorder="1"/>
    <xf numFmtId="0" fontId="11" fillId="0" borderId="29" xfId="0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64" fontId="11" fillId="0" borderId="30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64" fontId="11" fillId="0" borderId="7" xfId="1" applyNumberFormat="1" applyFont="1" applyFill="1" applyBorder="1"/>
    <xf numFmtId="164" fontId="11" fillId="0" borderId="7" xfId="1" applyNumberFormat="1" applyFont="1" applyFill="1" applyBorder="1" applyAlignment="1">
      <alignment horizontal="right"/>
    </xf>
    <xf numFmtId="164" fontId="11" fillId="0" borderId="8" xfId="1" applyNumberFormat="1" applyFont="1" applyFill="1" applyBorder="1" applyAlignment="1">
      <alignment horizontal="right"/>
    </xf>
    <xf numFmtId="0" fontId="11" fillId="0" borderId="31" xfId="0" applyFont="1" applyFill="1" applyBorder="1" applyAlignment="1">
      <alignment horizontal="center"/>
    </xf>
    <xf numFmtId="164" fontId="11" fillId="0" borderId="32" xfId="1" applyNumberFormat="1" applyFont="1" applyFill="1" applyBorder="1" applyAlignment="1">
      <alignment horizontal="right"/>
    </xf>
    <xf numFmtId="0" fontId="11" fillId="0" borderId="33" xfId="0" applyFont="1" applyFill="1" applyBorder="1" applyAlignment="1">
      <alignment horizontal="center"/>
    </xf>
    <xf numFmtId="164" fontId="11" fillId="0" borderId="34" xfId="1" applyNumberFormat="1" applyFont="1" applyFill="1" applyBorder="1"/>
    <xf numFmtId="164" fontId="11" fillId="0" borderId="34" xfId="1" applyNumberFormat="1" applyFont="1" applyFill="1" applyBorder="1" applyAlignment="1">
      <alignment horizontal="right"/>
    </xf>
    <xf numFmtId="164" fontId="11" fillId="0" borderId="35" xfId="1" applyNumberFormat="1" applyFont="1" applyFill="1" applyBorder="1" applyAlignment="1">
      <alignment horizontal="right"/>
    </xf>
    <xf numFmtId="164" fontId="11" fillId="0" borderId="8" xfId="1" applyNumberFormat="1" applyFont="1" applyFill="1" applyBorder="1"/>
    <xf numFmtId="164" fontId="11" fillId="0" borderId="32" xfId="1" applyNumberFormat="1" applyFont="1" applyFill="1" applyBorder="1"/>
    <xf numFmtId="164" fontId="11" fillId="0" borderId="35" xfId="1" applyNumberFormat="1" applyFont="1" applyFill="1" applyBorder="1"/>
    <xf numFmtId="0" fontId="6" fillId="0" borderId="0" xfId="0" applyFont="1" applyBorder="1"/>
    <xf numFmtId="43" fontId="12" fillId="0" borderId="4" xfId="1" applyFont="1" applyBorder="1"/>
    <xf numFmtId="41" fontId="12" fillId="0" borderId="0" xfId="0" applyNumberFormat="1" applyFont="1" applyBorder="1"/>
    <xf numFmtId="0" fontId="0" fillId="0" borderId="4" xfId="0" applyBorder="1"/>
    <xf numFmtId="43" fontId="11" fillId="0" borderId="4" xfId="1" applyFont="1" applyBorder="1" applyAlignment="1">
      <alignment horizontal="left"/>
    </xf>
    <xf numFmtId="0" fontId="11" fillId="0" borderId="4" xfId="0" applyFont="1" applyBorder="1" applyAlignment="1">
      <alignment horizontal="left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microsoft.com/office/2006/relationships/vbaProject" Target="vbaProject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H45"/>
  <sheetViews>
    <sheetView workbookViewId="0">
      <selection activeCell="E25" sqref="E25"/>
    </sheetView>
  </sheetViews>
  <sheetFormatPr baseColWidth="10" defaultRowHeight="12.75" x14ac:dyDescent="0.2"/>
  <cols>
    <col min="1" max="1" width="27" bestFit="1" customWidth="1"/>
    <col min="2" max="2" width="8.5703125" bestFit="1" customWidth="1"/>
    <col min="3" max="3" width="37.140625" customWidth="1"/>
    <col min="4" max="4" width="20" bestFit="1" customWidth="1"/>
    <col min="5" max="5" width="14" customWidth="1"/>
  </cols>
  <sheetData>
    <row r="1" spans="1:8" x14ac:dyDescent="0.2">
      <c r="A1" s="2" t="s">
        <v>1</v>
      </c>
      <c r="B1" s="1" t="s">
        <v>0</v>
      </c>
      <c r="C1" s="2" t="s">
        <v>2</v>
      </c>
      <c r="D1" s="2" t="s">
        <v>33</v>
      </c>
      <c r="E1" s="2">
        <f>PARTICIPANTS!G38</f>
        <v>0</v>
      </c>
    </row>
    <row r="2" spans="1:8" ht="15" x14ac:dyDescent="0.2">
      <c r="A2" s="41">
        <v>27</v>
      </c>
      <c r="B2" s="14">
        <v>1</v>
      </c>
      <c r="C2" s="3" t="s">
        <v>51</v>
      </c>
      <c r="D2" s="4" t="s">
        <v>24</v>
      </c>
      <c r="E2" s="4" t="s">
        <v>32</v>
      </c>
      <c r="H2" s="51" t="s">
        <v>10</v>
      </c>
    </row>
    <row r="3" spans="1:8" ht="15" x14ac:dyDescent="0.2">
      <c r="A3" s="41">
        <v>5</v>
      </c>
      <c r="B3" s="14">
        <v>2</v>
      </c>
      <c r="C3" s="3" t="s">
        <v>52</v>
      </c>
      <c r="D3" s="4" t="s">
        <v>24</v>
      </c>
      <c r="E3" s="4" t="s">
        <v>32</v>
      </c>
    </row>
    <row r="4" spans="1:8" ht="15" x14ac:dyDescent="0.2">
      <c r="A4" s="41">
        <v>14</v>
      </c>
      <c r="B4" s="14">
        <v>3</v>
      </c>
      <c r="C4" s="3" t="s">
        <v>53</v>
      </c>
      <c r="D4" s="4" t="s">
        <v>24</v>
      </c>
      <c r="E4" s="4" t="s">
        <v>32</v>
      </c>
    </row>
    <row r="5" spans="1:8" ht="15" x14ac:dyDescent="0.2">
      <c r="A5" s="41">
        <v>31</v>
      </c>
      <c r="B5" s="14">
        <v>4</v>
      </c>
      <c r="C5" s="3" t="s">
        <v>54</v>
      </c>
      <c r="D5" s="4" t="s">
        <v>24</v>
      </c>
      <c r="E5" s="4" t="s">
        <v>32</v>
      </c>
    </row>
    <row r="6" spans="1:8" ht="15" x14ac:dyDescent="0.2">
      <c r="A6" s="41">
        <v>2</v>
      </c>
      <c r="B6" s="14">
        <v>5</v>
      </c>
      <c r="C6" s="3" t="s">
        <v>55</v>
      </c>
      <c r="D6" s="4" t="s">
        <v>24</v>
      </c>
      <c r="E6" s="4" t="s">
        <v>32</v>
      </c>
    </row>
    <row r="7" spans="1:8" ht="15" x14ac:dyDescent="0.2">
      <c r="A7" s="70">
        <v>9</v>
      </c>
      <c r="B7" s="14">
        <v>6</v>
      </c>
      <c r="C7" s="3" t="s">
        <v>56</v>
      </c>
      <c r="D7" s="4" t="s">
        <v>24</v>
      </c>
      <c r="E7" s="4" t="s">
        <v>32</v>
      </c>
    </row>
    <row r="8" spans="1:8" ht="15" x14ac:dyDescent="0.2">
      <c r="A8" s="68">
        <v>8</v>
      </c>
      <c r="B8" s="14">
        <v>7</v>
      </c>
      <c r="C8" s="3" t="s">
        <v>57</v>
      </c>
      <c r="D8" s="4" t="s">
        <v>24</v>
      </c>
      <c r="E8" s="4" t="s">
        <v>32</v>
      </c>
    </row>
    <row r="9" spans="1:8" ht="15" x14ac:dyDescent="0.2">
      <c r="A9" s="69">
        <v>24</v>
      </c>
      <c r="B9" s="14">
        <v>8</v>
      </c>
      <c r="C9" s="3" t="s">
        <v>58</v>
      </c>
      <c r="D9" s="4" t="s">
        <v>24</v>
      </c>
      <c r="E9" s="4" t="s">
        <v>32</v>
      </c>
    </row>
    <row r="10" spans="1:8" ht="15" x14ac:dyDescent="0.2">
      <c r="A10" s="41">
        <v>23</v>
      </c>
      <c r="B10" s="14">
        <v>9</v>
      </c>
      <c r="C10" s="3" t="s">
        <v>59</v>
      </c>
      <c r="D10" s="4" t="s">
        <v>24</v>
      </c>
      <c r="E10" s="4" t="s">
        <v>32</v>
      </c>
    </row>
    <row r="11" spans="1:8" ht="15" x14ac:dyDescent="0.2">
      <c r="A11" s="41">
        <v>3</v>
      </c>
      <c r="B11" s="14">
        <v>10</v>
      </c>
      <c r="C11" s="3" t="s">
        <v>60</v>
      </c>
      <c r="D11" s="4" t="s">
        <v>24</v>
      </c>
      <c r="E11" s="4" t="s">
        <v>32</v>
      </c>
    </row>
    <row r="12" spans="1:8" ht="15" x14ac:dyDescent="0.2">
      <c r="A12" s="41">
        <v>12</v>
      </c>
      <c r="B12" s="14">
        <v>11</v>
      </c>
      <c r="C12" s="3" t="s">
        <v>61</v>
      </c>
      <c r="D12" s="4" t="s">
        <v>24</v>
      </c>
      <c r="E12" s="4" t="s">
        <v>32</v>
      </c>
    </row>
    <row r="13" spans="1:8" ht="15" x14ac:dyDescent="0.2">
      <c r="A13" s="41">
        <v>19</v>
      </c>
      <c r="B13" s="14">
        <v>12</v>
      </c>
      <c r="C13" s="3" t="s">
        <v>62</v>
      </c>
      <c r="D13" s="4" t="s">
        <v>24</v>
      </c>
      <c r="E13" s="4" t="s">
        <v>32</v>
      </c>
    </row>
    <row r="14" spans="1:8" ht="15" x14ac:dyDescent="0.2">
      <c r="A14" s="41">
        <v>32</v>
      </c>
      <c r="B14" s="14">
        <v>13</v>
      </c>
      <c r="C14" s="3" t="s">
        <v>63</v>
      </c>
      <c r="D14" s="4" t="s">
        <v>24</v>
      </c>
      <c r="E14" s="4" t="s">
        <v>32</v>
      </c>
      <c r="H14" s="52" t="s">
        <v>10</v>
      </c>
    </row>
    <row r="15" spans="1:8" ht="15" x14ac:dyDescent="0.2">
      <c r="A15" s="41">
        <v>15</v>
      </c>
      <c r="B15" s="14">
        <v>14</v>
      </c>
      <c r="C15" s="3" t="s">
        <v>64</v>
      </c>
      <c r="D15" s="4" t="s">
        <v>24</v>
      </c>
      <c r="E15" s="4" t="s">
        <v>32</v>
      </c>
    </row>
    <row r="16" spans="1:8" ht="15" x14ac:dyDescent="0.2">
      <c r="A16" s="41">
        <v>7</v>
      </c>
      <c r="B16" s="14">
        <v>15</v>
      </c>
      <c r="C16" s="3" t="s">
        <v>65</v>
      </c>
      <c r="D16" s="4" t="s">
        <v>24</v>
      </c>
      <c r="E16" s="4" t="s">
        <v>32</v>
      </c>
    </row>
    <row r="17" spans="1:5" ht="15" x14ac:dyDescent="0.2">
      <c r="B17" s="14">
        <v>16</v>
      </c>
      <c r="C17" s="3" t="s">
        <v>66</v>
      </c>
      <c r="D17" s="4" t="s">
        <v>24</v>
      </c>
      <c r="E17" s="4" t="s">
        <v>23</v>
      </c>
    </row>
    <row r="18" spans="1:5" ht="15" x14ac:dyDescent="0.2">
      <c r="A18" s="41">
        <v>21</v>
      </c>
      <c r="B18" s="14">
        <v>17</v>
      </c>
      <c r="C18" s="3" t="s">
        <v>67</v>
      </c>
      <c r="D18" s="4" t="s">
        <v>24</v>
      </c>
      <c r="E18" s="4" t="s">
        <v>23</v>
      </c>
    </row>
    <row r="19" spans="1:5" ht="15" x14ac:dyDescent="0.2">
      <c r="A19" s="41">
        <v>18</v>
      </c>
      <c r="B19" s="14">
        <v>18</v>
      </c>
      <c r="C19" s="3" t="s">
        <v>68</v>
      </c>
      <c r="D19" s="4" t="s">
        <v>24</v>
      </c>
      <c r="E19" s="4" t="s">
        <v>32</v>
      </c>
    </row>
    <row r="20" spans="1:5" ht="15" x14ac:dyDescent="0.2">
      <c r="A20" s="41">
        <v>17</v>
      </c>
      <c r="B20" s="14">
        <v>19</v>
      </c>
      <c r="C20" s="3" t="s">
        <v>69</v>
      </c>
      <c r="D20" s="4" t="s">
        <v>24</v>
      </c>
      <c r="E20" s="4" t="s">
        <v>32</v>
      </c>
    </row>
    <row r="21" spans="1:5" ht="15" x14ac:dyDescent="0.2">
      <c r="A21" s="41">
        <v>26</v>
      </c>
      <c r="B21" s="14">
        <v>20</v>
      </c>
      <c r="C21" s="3" t="s">
        <v>70</v>
      </c>
      <c r="D21" s="4" t="s">
        <v>24</v>
      </c>
      <c r="E21" s="4" t="s">
        <v>32</v>
      </c>
    </row>
    <row r="22" spans="1:5" ht="15" x14ac:dyDescent="0.2">
      <c r="A22" s="41">
        <v>22</v>
      </c>
      <c r="B22" s="14">
        <v>21</v>
      </c>
      <c r="C22" s="3" t="s">
        <v>71</v>
      </c>
      <c r="D22" s="4" t="s">
        <v>24</v>
      </c>
      <c r="E22" s="4" t="s">
        <v>32</v>
      </c>
    </row>
    <row r="23" spans="1:5" ht="15" x14ac:dyDescent="0.2">
      <c r="A23" s="41">
        <v>4</v>
      </c>
      <c r="B23" s="14">
        <v>22</v>
      </c>
      <c r="C23" s="3" t="s">
        <v>72</v>
      </c>
      <c r="D23" s="4" t="s">
        <v>24</v>
      </c>
      <c r="E23" s="4" t="s">
        <v>32</v>
      </c>
    </row>
    <row r="24" spans="1:5" ht="15" x14ac:dyDescent="0.2">
      <c r="B24" s="14">
        <v>23</v>
      </c>
      <c r="C24" s="3" t="s">
        <v>73</v>
      </c>
      <c r="D24" s="4" t="s">
        <v>24</v>
      </c>
      <c r="E24" s="4" t="s">
        <v>23</v>
      </c>
    </row>
    <row r="25" spans="1:5" ht="15" x14ac:dyDescent="0.2">
      <c r="A25" s="41">
        <v>6</v>
      </c>
      <c r="B25" s="14">
        <v>24</v>
      </c>
      <c r="C25" s="3" t="s">
        <v>74</v>
      </c>
      <c r="D25" s="4" t="s">
        <v>24</v>
      </c>
      <c r="E25" s="4" t="s">
        <v>32</v>
      </c>
    </row>
    <row r="26" spans="1:5" ht="15" x14ac:dyDescent="0.2">
      <c r="A26" s="41">
        <v>11</v>
      </c>
      <c r="B26" s="14">
        <v>25</v>
      </c>
      <c r="C26" s="3" t="s">
        <v>75</v>
      </c>
      <c r="D26" s="4" t="s">
        <v>24</v>
      </c>
      <c r="E26" s="4" t="s">
        <v>32</v>
      </c>
    </row>
    <row r="27" spans="1:5" ht="15" x14ac:dyDescent="0.2">
      <c r="A27" s="41">
        <v>16</v>
      </c>
      <c r="B27" s="14">
        <v>26</v>
      </c>
      <c r="C27" s="3" t="s">
        <v>76</v>
      </c>
      <c r="D27" s="4" t="s">
        <v>24</v>
      </c>
      <c r="E27" s="4" t="s">
        <v>32</v>
      </c>
    </row>
    <row r="28" spans="1:5" ht="15" x14ac:dyDescent="0.2">
      <c r="A28" s="41">
        <v>28</v>
      </c>
      <c r="B28" s="14">
        <v>27</v>
      </c>
      <c r="C28" s="3" t="s">
        <v>77</v>
      </c>
      <c r="D28" s="4" t="s">
        <v>24</v>
      </c>
      <c r="E28" s="4" t="s">
        <v>32</v>
      </c>
    </row>
    <row r="29" spans="1:5" ht="15" x14ac:dyDescent="0.2">
      <c r="A29" s="41">
        <v>29</v>
      </c>
      <c r="B29" s="14">
        <v>28</v>
      </c>
      <c r="C29" s="3" t="s">
        <v>78</v>
      </c>
      <c r="D29" s="4" t="s">
        <v>24</v>
      </c>
      <c r="E29" s="4" t="s">
        <v>32</v>
      </c>
    </row>
    <row r="30" spans="1:5" ht="15" x14ac:dyDescent="0.2">
      <c r="A30" s="41">
        <v>20</v>
      </c>
      <c r="B30" s="14">
        <v>29</v>
      </c>
      <c r="C30" s="3" t="s">
        <v>79</v>
      </c>
      <c r="D30" s="4" t="s">
        <v>24</v>
      </c>
      <c r="E30" s="4" t="s">
        <v>32</v>
      </c>
    </row>
    <row r="31" spans="1:5" ht="15" x14ac:dyDescent="0.2">
      <c r="A31" s="41">
        <v>10</v>
      </c>
      <c r="B31" s="14">
        <v>30</v>
      </c>
      <c r="C31" s="3" t="s">
        <v>80</v>
      </c>
      <c r="D31" s="4" t="s">
        <v>24</v>
      </c>
      <c r="E31" s="4" t="s">
        <v>32</v>
      </c>
    </row>
    <row r="32" spans="1:5" ht="15" x14ac:dyDescent="0.2">
      <c r="A32" s="41">
        <v>25</v>
      </c>
      <c r="B32" s="14">
        <v>31</v>
      </c>
      <c r="C32" s="3" t="s">
        <v>81</v>
      </c>
      <c r="D32" s="4" t="s">
        <v>24</v>
      </c>
      <c r="E32" s="4" t="s">
        <v>32</v>
      </c>
    </row>
    <row r="33" spans="1:5" ht="15" x14ac:dyDescent="0.2">
      <c r="A33" s="41">
        <v>1</v>
      </c>
      <c r="B33" s="14">
        <v>32</v>
      </c>
      <c r="C33" s="3" t="s">
        <v>82</v>
      </c>
      <c r="D33" s="4" t="s">
        <v>24</v>
      </c>
      <c r="E33" s="4" t="s">
        <v>32</v>
      </c>
    </row>
    <row r="34" spans="1:5" ht="15" x14ac:dyDescent="0.2">
      <c r="A34" s="41">
        <v>13</v>
      </c>
      <c r="B34" s="14">
        <v>33</v>
      </c>
      <c r="C34" s="3" t="s">
        <v>83</v>
      </c>
      <c r="D34" s="4" t="s">
        <v>24</v>
      </c>
      <c r="E34" s="4" t="s">
        <v>32</v>
      </c>
    </row>
    <row r="35" spans="1:5" ht="15" x14ac:dyDescent="0.2">
      <c r="A35" s="41">
        <v>30</v>
      </c>
      <c r="B35" s="14">
        <v>34</v>
      </c>
      <c r="C35" s="3" t="s">
        <v>84</v>
      </c>
      <c r="D35" s="4" t="s">
        <v>24</v>
      </c>
      <c r="E35" s="4" t="s">
        <v>32</v>
      </c>
    </row>
    <row r="36" spans="1:5" ht="15" x14ac:dyDescent="0.2">
      <c r="A36" s="85"/>
      <c r="B36" s="86"/>
      <c r="C36" s="87"/>
      <c r="D36" s="88"/>
      <c r="E36" s="88"/>
    </row>
    <row r="39" spans="1:5" x14ac:dyDescent="0.2">
      <c r="A39" s="32" t="s">
        <v>34</v>
      </c>
      <c r="B39" s="34">
        <f>COUNTIF(D2:D35,"=S")</f>
        <v>34</v>
      </c>
      <c r="D39" s="49" t="s">
        <v>37</v>
      </c>
      <c r="E39" s="58">
        <f>COUNTIF(D2:D26,"=J")</f>
        <v>0</v>
      </c>
    </row>
    <row r="40" spans="1:5" x14ac:dyDescent="0.2">
      <c r="A40" s="33"/>
      <c r="B40" s="20"/>
      <c r="D40" s="50"/>
      <c r="E40" s="59"/>
    </row>
    <row r="41" spans="1:5" x14ac:dyDescent="0.2">
      <c r="A41" s="32" t="s">
        <v>35</v>
      </c>
      <c r="B41" s="34">
        <f>ROUNDUP(B39/3,0)</f>
        <v>12</v>
      </c>
      <c r="D41" s="49" t="s">
        <v>38</v>
      </c>
      <c r="E41" s="58">
        <f>ROUNDUP(E39/3,0)</f>
        <v>0</v>
      </c>
    </row>
    <row r="42" spans="1:5" x14ac:dyDescent="0.2">
      <c r="A42" s="33"/>
      <c r="B42" s="20"/>
      <c r="D42" s="50"/>
      <c r="E42" s="59"/>
    </row>
    <row r="43" spans="1:5" x14ac:dyDescent="0.2">
      <c r="A43" s="32" t="s">
        <v>36</v>
      </c>
      <c r="B43" s="34">
        <f>COUNTIFS(E2:E35,"=P",D2:D35,"=S")</f>
        <v>31</v>
      </c>
      <c r="D43" s="49" t="s">
        <v>39</v>
      </c>
      <c r="E43" s="58">
        <f>COUNTIFS(E2:E26,"=P",D2:D26,"=J")</f>
        <v>0</v>
      </c>
    </row>
    <row r="44" spans="1:5" x14ac:dyDescent="0.2">
      <c r="A44" s="33" t="s">
        <v>10</v>
      </c>
      <c r="B44" s="20">
        <v>0</v>
      </c>
    </row>
    <row r="45" spans="1:5" x14ac:dyDescent="0.2">
      <c r="A45" s="53" t="s">
        <v>40</v>
      </c>
      <c r="B45" s="53">
        <f>B43+E43-B44</f>
        <v>31</v>
      </c>
    </row>
  </sheetData>
  <autoFilter ref="A1:E26">
    <sortState ref="A2:E26">
      <sortCondition ref="B1:B26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H41"/>
  <sheetViews>
    <sheetView workbookViewId="0">
      <selection activeCell="H6" sqref="H6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26" t="s">
        <v>21</v>
      </c>
      <c r="B2" s="26" t="s">
        <v>22</v>
      </c>
      <c r="C2" s="28" t="s">
        <v>21</v>
      </c>
      <c r="D2" s="28" t="s">
        <v>22</v>
      </c>
      <c r="E2" s="26" t="s">
        <v>21</v>
      </c>
      <c r="F2" s="26" t="s">
        <v>22</v>
      </c>
      <c r="G2" s="28" t="s">
        <v>21</v>
      </c>
      <c r="H2" s="28" t="s">
        <v>22</v>
      </c>
    </row>
    <row r="3" spans="1:8" x14ac:dyDescent="0.2">
      <c r="A3" s="24" t="s">
        <v>24</v>
      </c>
      <c r="B3" s="25">
        <v>401</v>
      </c>
      <c r="C3" s="27" t="s">
        <v>24</v>
      </c>
      <c r="D3" s="27">
        <v>266</v>
      </c>
      <c r="E3" s="25" t="s">
        <v>24</v>
      </c>
      <c r="F3" s="25">
        <v>257</v>
      </c>
      <c r="G3" s="27" t="s">
        <v>24</v>
      </c>
      <c r="H3" s="27">
        <v>227</v>
      </c>
    </row>
    <row r="4" spans="1:8" x14ac:dyDescent="0.2">
      <c r="A4" s="24"/>
      <c r="B4" s="25"/>
      <c r="C4" s="27" t="s">
        <v>24</v>
      </c>
      <c r="D4" s="27">
        <v>301</v>
      </c>
      <c r="E4" s="25" t="s">
        <v>24</v>
      </c>
      <c r="F4" s="25">
        <v>253</v>
      </c>
      <c r="G4" s="27" t="s">
        <v>24</v>
      </c>
      <c r="H4" s="27">
        <v>214</v>
      </c>
    </row>
    <row r="5" spans="1:8" x14ac:dyDescent="0.2">
      <c r="A5" s="24"/>
      <c r="B5" s="25"/>
      <c r="C5" s="27" t="s">
        <v>24</v>
      </c>
      <c r="D5" s="27">
        <v>219</v>
      </c>
      <c r="E5" s="25" t="s">
        <v>24</v>
      </c>
      <c r="F5" s="25">
        <v>350</v>
      </c>
      <c r="G5" s="27" t="s">
        <v>24</v>
      </c>
      <c r="H5" s="27">
        <v>230</v>
      </c>
    </row>
    <row r="6" spans="1:8" x14ac:dyDescent="0.2">
      <c r="A6" s="24"/>
      <c r="B6" s="25"/>
      <c r="C6" s="27"/>
      <c r="D6" s="27"/>
      <c r="E6" s="25" t="s">
        <v>24</v>
      </c>
      <c r="F6" s="25">
        <v>203</v>
      </c>
      <c r="G6" s="27" t="s">
        <v>24</v>
      </c>
      <c r="H6" s="27">
        <v>246</v>
      </c>
    </row>
    <row r="7" spans="1:8" x14ac:dyDescent="0.2">
      <c r="A7" s="24"/>
      <c r="B7" s="25"/>
      <c r="C7" s="27"/>
      <c r="D7" s="27"/>
      <c r="E7" s="25" t="s">
        <v>24</v>
      </c>
      <c r="F7" s="25">
        <v>220</v>
      </c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26">
        <f>COUNT(B3:B40)</f>
        <v>1</v>
      </c>
      <c r="B41" s="26">
        <f>SUM(B3:B40)</f>
        <v>401</v>
      </c>
      <c r="C41" s="28">
        <f t="shared" ref="C41" si="0">COUNT(D3:D40)</f>
        <v>3</v>
      </c>
      <c r="D41" s="28">
        <f t="shared" ref="D41" si="1">SUM(D3:D40)</f>
        <v>786</v>
      </c>
      <c r="E41" s="26">
        <f t="shared" ref="E41" si="2">COUNT(F3:F40)</f>
        <v>5</v>
      </c>
      <c r="F41" s="26">
        <f t="shared" ref="F41" si="3">SUM(F3:F40)</f>
        <v>1283</v>
      </c>
      <c r="G41" s="28">
        <f t="shared" ref="G41" si="4">COUNT(H3:H40)</f>
        <v>4</v>
      </c>
      <c r="H41" s="28">
        <f t="shared" ref="H41" si="5">SUM(H3:H40)</f>
        <v>917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H41"/>
  <sheetViews>
    <sheetView workbookViewId="0">
      <selection activeCell="H3" sqref="H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26" t="s">
        <v>21</v>
      </c>
      <c r="B2" s="26" t="s">
        <v>22</v>
      </c>
      <c r="C2" s="28" t="s">
        <v>21</v>
      </c>
      <c r="D2" s="28" t="s">
        <v>22</v>
      </c>
      <c r="E2" s="26" t="s">
        <v>21</v>
      </c>
      <c r="F2" s="26" t="s">
        <v>22</v>
      </c>
      <c r="G2" s="28" t="s">
        <v>21</v>
      </c>
      <c r="H2" s="28" t="s">
        <v>22</v>
      </c>
    </row>
    <row r="3" spans="1:8" x14ac:dyDescent="0.2">
      <c r="A3" s="24" t="s">
        <v>24</v>
      </c>
      <c r="B3" s="25">
        <v>290</v>
      </c>
      <c r="C3" s="27" t="s">
        <v>24</v>
      </c>
      <c r="D3" s="27">
        <v>242</v>
      </c>
      <c r="E3" s="25" t="s">
        <v>24</v>
      </c>
      <c r="F3" s="25">
        <v>200</v>
      </c>
      <c r="G3" s="27" t="s">
        <v>24</v>
      </c>
      <c r="H3" s="27">
        <v>215</v>
      </c>
    </row>
    <row r="4" spans="1:8" x14ac:dyDescent="0.2">
      <c r="A4" s="24" t="s">
        <v>24</v>
      </c>
      <c r="B4" s="25">
        <v>279</v>
      </c>
      <c r="C4" s="27" t="s">
        <v>24</v>
      </c>
      <c r="D4" s="27">
        <v>290</v>
      </c>
      <c r="E4" s="25"/>
      <c r="F4" s="25"/>
      <c r="G4" s="27"/>
      <c r="H4" s="27"/>
    </row>
    <row r="5" spans="1:8" x14ac:dyDescent="0.2">
      <c r="A5" s="24" t="s">
        <v>24</v>
      </c>
      <c r="B5" s="25">
        <v>310</v>
      </c>
      <c r="C5" s="27"/>
      <c r="D5" s="27"/>
      <c r="E5" s="25"/>
      <c r="F5" s="25"/>
      <c r="G5" s="27"/>
      <c r="H5" s="27"/>
    </row>
    <row r="6" spans="1:8" x14ac:dyDescent="0.2">
      <c r="A6" s="24" t="s">
        <v>24</v>
      </c>
      <c r="B6" s="25">
        <v>253</v>
      </c>
      <c r="C6" s="27"/>
      <c r="D6" s="27"/>
      <c r="E6" s="25"/>
      <c r="F6" s="25"/>
      <c r="G6" s="27"/>
      <c r="H6" s="27"/>
    </row>
    <row r="7" spans="1:8" x14ac:dyDescent="0.2">
      <c r="A7" s="24" t="s">
        <v>24</v>
      </c>
      <c r="B7" s="25">
        <v>222</v>
      </c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26">
        <f>COUNT(B3:B40)</f>
        <v>5</v>
      </c>
      <c r="B41" s="26">
        <f>SUM(B3:B40)</f>
        <v>1354</v>
      </c>
      <c r="C41" s="28">
        <f t="shared" ref="C41" si="0">COUNT(D3:D40)</f>
        <v>2</v>
      </c>
      <c r="D41" s="28">
        <f t="shared" ref="D41" si="1">SUM(D3:D40)</f>
        <v>532</v>
      </c>
      <c r="E41" s="26">
        <f t="shared" ref="E41" si="2">COUNT(F3:F40)</f>
        <v>1</v>
      </c>
      <c r="F41" s="26">
        <f t="shared" ref="F41" si="3">SUM(F3:F40)</f>
        <v>200</v>
      </c>
      <c r="G41" s="28">
        <f t="shared" ref="G41" si="4">COUNT(H3:H40)</f>
        <v>1</v>
      </c>
      <c r="H41" s="28">
        <f t="shared" ref="H41" si="5">SUM(H3:H40)</f>
        <v>215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D3:D40 F3:F40 H3:H40 B3:B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A3:A40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H41"/>
  <sheetViews>
    <sheetView workbookViewId="0">
      <selection activeCell="F7" sqref="F7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26" t="s">
        <v>21</v>
      </c>
      <c r="B2" s="26" t="s">
        <v>22</v>
      </c>
      <c r="C2" s="28" t="s">
        <v>21</v>
      </c>
      <c r="D2" s="28" t="s">
        <v>22</v>
      </c>
      <c r="E2" s="26" t="s">
        <v>21</v>
      </c>
      <c r="F2" s="26" t="s">
        <v>22</v>
      </c>
      <c r="G2" s="28" t="s">
        <v>21</v>
      </c>
      <c r="H2" s="28" t="s">
        <v>22</v>
      </c>
    </row>
    <row r="3" spans="1:8" x14ac:dyDescent="0.2">
      <c r="A3" s="24" t="s">
        <v>24</v>
      </c>
      <c r="B3" s="25">
        <v>227</v>
      </c>
      <c r="C3" s="27" t="s">
        <v>24</v>
      </c>
      <c r="D3" s="27">
        <v>322</v>
      </c>
      <c r="E3" s="25" t="s">
        <v>24</v>
      </c>
      <c r="F3" s="25">
        <v>242</v>
      </c>
      <c r="G3" s="27"/>
      <c r="H3" s="27"/>
    </row>
    <row r="4" spans="1:8" x14ac:dyDescent="0.2">
      <c r="A4" s="24" t="s">
        <v>24</v>
      </c>
      <c r="B4" s="25">
        <v>310</v>
      </c>
      <c r="C4" s="27" t="s">
        <v>24</v>
      </c>
      <c r="D4" s="27">
        <v>230</v>
      </c>
      <c r="E4" s="25" t="s">
        <v>24</v>
      </c>
      <c r="F4" s="25">
        <v>264</v>
      </c>
      <c r="G4" s="27"/>
      <c r="H4" s="27"/>
    </row>
    <row r="5" spans="1:8" x14ac:dyDescent="0.2">
      <c r="A5" s="24"/>
      <c r="B5" s="25"/>
      <c r="C5" s="27"/>
      <c r="D5" s="27"/>
      <c r="E5" s="25" t="s">
        <v>24</v>
      </c>
      <c r="F5" s="25">
        <v>324</v>
      </c>
      <c r="G5" s="27"/>
      <c r="H5" s="27"/>
    </row>
    <row r="6" spans="1:8" x14ac:dyDescent="0.2">
      <c r="A6" s="24"/>
      <c r="B6" s="25"/>
      <c r="C6" s="27"/>
      <c r="D6" s="27"/>
      <c r="E6" s="25" t="s">
        <v>24</v>
      </c>
      <c r="F6" s="25">
        <v>281</v>
      </c>
      <c r="G6" s="27"/>
      <c r="H6" s="27"/>
    </row>
    <row r="7" spans="1:8" x14ac:dyDescent="0.2">
      <c r="A7" s="24"/>
      <c r="B7" s="25"/>
      <c r="C7" s="27"/>
      <c r="D7" s="27"/>
      <c r="E7" s="25" t="s">
        <v>24</v>
      </c>
      <c r="F7" s="25">
        <v>279</v>
      </c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26">
        <f>COUNT(B3:B40)</f>
        <v>2</v>
      </c>
      <c r="B41" s="26">
        <f>SUM(B3:B40)</f>
        <v>537</v>
      </c>
      <c r="C41" s="28">
        <f t="shared" ref="C41" si="0">COUNT(D3:D40)</f>
        <v>2</v>
      </c>
      <c r="D41" s="28">
        <f t="shared" ref="D41" si="1">SUM(D3:D40)</f>
        <v>552</v>
      </c>
      <c r="E41" s="26">
        <f t="shared" ref="E41" si="2">COUNT(F3:F40)</f>
        <v>5</v>
      </c>
      <c r="F41" s="26">
        <f t="shared" ref="F41" si="3">SUM(F3:F40)</f>
        <v>1390</v>
      </c>
      <c r="G41" s="28">
        <f t="shared" ref="G41" si="4">COUNT(H3:H40)</f>
        <v>0</v>
      </c>
      <c r="H41" s="28">
        <f t="shared" ref="H41" si="5">SUM(H3:H40)</f>
        <v>0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H41"/>
  <sheetViews>
    <sheetView workbookViewId="0">
      <selection activeCell="H3" sqref="H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245</v>
      </c>
      <c r="C3" s="27"/>
      <c r="D3" s="27"/>
      <c r="E3" s="25" t="s">
        <v>24</v>
      </c>
      <c r="F3" s="25">
        <v>230</v>
      </c>
      <c r="G3" s="27" t="s">
        <v>24</v>
      </c>
      <c r="H3" s="27">
        <v>322</v>
      </c>
    </row>
    <row r="4" spans="1:8" x14ac:dyDescent="0.2">
      <c r="A4" s="24" t="s">
        <v>24</v>
      </c>
      <c r="B4" s="25">
        <v>350</v>
      </c>
      <c r="C4" s="27"/>
      <c r="D4" s="27"/>
      <c r="E4" s="25" t="s">
        <v>24</v>
      </c>
      <c r="F4" s="25">
        <v>263</v>
      </c>
      <c r="G4" s="27"/>
      <c r="H4" s="27"/>
    </row>
    <row r="5" spans="1:8" x14ac:dyDescent="0.2">
      <c r="A5" s="24"/>
      <c r="B5" s="25"/>
      <c r="C5" s="27"/>
      <c r="D5" s="27"/>
      <c r="E5" s="25"/>
      <c r="F5" s="25"/>
      <c r="G5" s="27"/>
      <c r="H5" s="27"/>
    </row>
    <row r="6" spans="1:8" x14ac:dyDescent="0.2">
      <c r="A6" s="24"/>
      <c r="B6" s="25"/>
      <c r="C6" s="27"/>
      <c r="D6" s="27"/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2</v>
      </c>
      <c r="B41" s="47">
        <f>SUM(B3:B40)</f>
        <v>595</v>
      </c>
      <c r="C41" s="48">
        <f t="shared" ref="C41" si="0">COUNT(D3:D40)</f>
        <v>0</v>
      </c>
      <c r="D41" s="48">
        <f t="shared" ref="D41" si="1">SUM(D3:D40)</f>
        <v>0</v>
      </c>
      <c r="E41" s="47">
        <f t="shared" ref="E41" si="2">COUNT(F3:F40)</f>
        <v>2</v>
      </c>
      <c r="F41" s="47">
        <f t="shared" ref="F41" si="3">SUM(F3:F40)</f>
        <v>493</v>
      </c>
      <c r="G41" s="48">
        <f t="shared" ref="G41" si="4">COUNT(H3:H40)</f>
        <v>1</v>
      </c>
      <c r="H41" s="48">
        <f t="shared" ref="H41" si="5">SUM(H3:H40)</f>
        <v>322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H41"/>
  <sheetViews>
    <sheetView workbookViewId="0">
      <selection activeCell="H4" sqref="H4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/>
      <c r="B3" s="25"/>
      <c r="C3" s="27" t="s">
        <v>24</v>
      </c>
      <c r="D3" s="27">
        <v>260</v>
      </c>
      <c r="E3" s="25" t="s">
        <v>24</v>
      </c>
      <c r="F3" s="25">
        <v>389</v>
      </c>
      <c r="G3" s="27" t="s">
        <v>24</v>
      </c>
      <c r="H3" s="27">
        <v>240</v>
      </c>
    </row>
    <row r="4" spans="1:8" x14ac:dyDescent="0.2">
      <c r="A4" s="24"/>
      <c r="B4" s="25"/>
      <c r="C4" s="27"/>
      <c r="D4" s="27"/>
      <c r="E4" s="25"/>
      <c r="F4" s="25"/>
      <c r="G4" s="27" t="s">
        <v>24</v>
      </c>
      <c r="H4" s="27">
        <v>340</v>
      </c>
    </row>
    <row r="5" spans="1:8" x14ac:dyDescent="0.2">
      <c r="A5" s="24"/>
      <c r="B5" s="25"/>
      <c r="C5" s="27"/>
      <c r="D5" s="27"/>
      <c r="E5" s="25"/>
      <c r="F5" s="25"/>
      <c r="G5" s="27"/>
      <c r="H5" s="27"/>
    </row>
    <row r="6" spans="1:8" x14ac:dyDescent="0.2">
      <c r="A6" s="24"/>
      <c r="B6" s="25"/>
      <c r="C6" s="27"/>
      <c r="D6" s="27"/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0</v>
      </c>
      <c r="B41" s="47">
        <f>SUM(B3:B40)</f>
        <v>0</v>
      </c>
      <c r="C41" s="48">
        <f t="shared" ref="C41" si="0">COUNT(D3:D40)</f>
        <v>1</v>
      </c>
      <c r="D41" s="48">
        <f t="shared" ref="D41" si="1">SUM(D3:D40)</f>
        <v>260</v>
      </c>
      <c r="E41" s="47">
        <f t="shared" ref="E41" si="2">COUNT(F3:F40)</f>
        <v>1</v>
      </c>
      <c r="F41" s="47">
        <f t="shared" ref="F41" si="3">SUM(F3:F40)</f>
        <v>389</v>
      </c>
      <c r="G41" s="48">
        <f t="shared" ref="G41" si="4">COUNT(H3:H40)</f>
        <v>2</v>
      </c>
      <c r="H41" s="48">
        <f t="shared" ref="H41" si="5">SUM(H3:H40)</f>
        <v>580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H41"/>
  <sheetViews>
    <sheetView workbookViewId="0">
      <selection activeCell="H3" sqref="H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370</v>
      </c>
      <c r="C3" s="27"/>
      <c r="D3" s="27"/>
      <c r="E3" s="25" t="s">
        <v>24</v>
      </c>
      <c r="F3" s="25">
        <v>230</v>
      </c>
      <c r="G3" s="27" t="s">
        <v>24</v>
      </c>
      <c r="H3" s="27">
        <v>307</v>
      </c>
    </row>
    <row r="4" spans="1:8" x14ac:dyDescent="0.2">
      <c r="A4" s="24" t="s">
        <v>24</v>
      </c>
      <c r="B4" s="25">
        <v>278</v>
      </c>
      <c r="C4" s="27"/>
      <c r="D4" s="27"/>
      <c r="E4" s="25" t="s">
        <v>24</v>
      </c>
      <c r="F4" s="25">
        <v>244</v>
      </c>
      <c r="G4" s="27"/>
      <c r="H4" s="27"/>
    </row>
    <row r="5" spans="1:8" x14ac:dyDescent="0.2">
      <c r="A5" s="24" t="s">
        <v>24</v>
      </c>
      <c r="B5" s="25">
        <v>378</v>
      </c>
      <c r="C5" s="27"/>
      <c r="D5" s="27"/>
      <c r="E5" s="25"/>
      <c r="F5" s="25"/>
      <c r="G5" s="27"/>
      <c r="H5" s="27"/>
    </row>
    <row r="6" spans="1:8" x14ac:dyDescent="0.2">
      <c r="A6" s="24" t="s">
        <v>24</v>
      </c>
      <c r="B6" s="25">
        <v>270</v>
      </c>
      <c r="C6" s="27"/>
      <c r="D6" s="27"/>
      <c r="E6" s="25"/>
      <c r="F6" s="25"/>
      <c r="G6" s="27"/>
      <c r="H6" s="27"/>
    </row>
    <row r="7" spans="1:8" x14ac:dyDescent="0.2">
      <c r="A7" s="24" t="s">
        <v>24</v>
      </c>
      <c r="B7" s="25">
        <v>338</v>
      </c>
      <c r="C7" s="27"/>
      <c r="D7" s="27"/>
      <c r="E7" s="25"/>
      <c r="F7" s="25"/>
      <c r="G7" s="27"/>
      <c r="H7" s="27"/>
    </row>
    <row r="8" spans="1:8" x14ac:dyDescent="0.2">
      <c r="A8" s="24" t="s">
        <v>24</v>
      </c>
      <c r="B8" s="25">
        <v>280</v>
      </c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6</v>
      </c>
      <c r="B41" s="47">
        <f>SUM(B3:B40)</f>
        <v>1914</v>
      </c>
      <c r="C41" s="48">
        <f t="shared" ref="C41" si="0">COUNT(D3:D40)</f>
        <v>0</v>
      </c>
      <c r="D41" s="48">
        <f t="shared" ref="D41" si="1">SUM(D3:D40)</f>
        <v>0</v>
      </c>
      <c r="E41" s="47">
        <f t="shared" ref="E41" si="2">COUNT(F3:F40)</f>
        <v>2</v>
      </c>
      <c r="F41" s="47">
        <f t="shared" ref="F41" si="3">SUM(F3:F40)</f>
        <v>474</v>
      </c>
      <c r="G41" s="48">
        <f t="shared" ref="G41" si="4">COUNT(H3:H40)</f>
        <v>1</v>
      </c>
      <c r="H41" s="48">
        <f t="shared" ref="H41" si="5">SUM(H3:H40)</f>
        <v>307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H41"/>
  <sheetViews>
    <sheetView workbookViewId="0">
      <selection activeCell="H7" sqref="H7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298</v>
      </c>
      <c r="C3" s="27" t="s">
        <v>24</v>
      </c>
      <c r="D3" s="27">
        <v>221</v>
      </c>
      <c r="E3" s="25" t="s">
        <v>24</v>
      </c>
      <c r="F3" s="25">
        <v>240</v>
      </c>
      <c r="G3" s="27" t="s">
        <v>24</v>
      </c>
      <c r="H3" s="27">
        <v>285</v>
      </c>
    </row>
    <row r="4" spans="1:8" x14ac:dyDescent="0.2">
      <c r="A4" s="24" t="s">
        <v>24</v>
      </c>
      <c r="B4" s="25">
        <v>262</v>
      </c>
      <c r="C4" s="27" t="s">
        <v>24</v>
      </c>
      <c r="D4" s="27">
        <v>352</v>
      </c>
      <c r="E4" s="25" t="s">
        <v>24</v>
      </c>
      <c r="F4" s="25">
        <v>206</v>
      </c>
      <c r="G4" s="27" t="s">
        <v>24</v>
      </c>
      <c r="H4" s="27">
        <v>250</v>
      </c>
    </row>
    <row r="5" spans="1:8" x14ac:dyDescent="0.2">
      <c r="A5" s="24" t="s">
        <v>24</v>
      </c>
      <c r="B5" s="25">
        <v>306</v>
      </c>
      <c r="C5" s="27" t="s">
        <v>24</v>
      </c>
      <c r="D5" s="27">
        <v>290</v>
      </c>
      <c r="E5" s="25" t="s">
        <v>24</v>
      </c>
      <c r="F5" s="25">
        <v>201</v>
      </c>
      <c r="G5" s="27" t="s">
        <v>24</v>
      </c>
      <c r="H5" s="27">
        <v>297</v>
      </c>
    </row>
    <row r="6" spans="1:8" x14ac:dyDescent="0.2">
      <c r="A6" s="24" t="s">
        <v>24</v>
      </c>
      <c r="B6" s="25">
        <v>355</v>
      </c>
      <c r="C6" s="27" t="s">
        <v>24</v>
      </c>
      <c r="D6" s="27">
        <v>300</v>
      </c>
      <c r="E6" s="25" t="s">
        <v>24</v>
      </c>
      <c r="F6" s="25">
        <v>372</v>
      </c>
      <c r="G6" s="27" t="s">
        <v>24</v>
      </c>
      <c r="H6" s="27">
        <v>356</v>
      </c>
    </row>
    <row r="7" spans="1:8" x14ac:dyDescent="0.2">
      <c r="A7" s="24" t="s">
        <v>24</v>
      </c>
      <c r="B7" s="25">
        <v>266</v>
      </c>
      <c r="C7" s="27" t="s">
        <v>24</v>
      </c>
      <c r="D7" s="27">
        <v>326</v>
      </c>
      <c r="E7" s="25" t="s">
        <v>24</v>
      </c>
      <c r="F7" s="25">
        <v>331</v>
      </c>
      <c r="G7" s="27" t="s">
        <v>24</v>
      </c>
      <c r="H7" s="27">
        <v>280</v>
      </c>
    </row>
    <row r="8" spans="1:8" x14ac:dyDescent="0.2">
      <c r="A8" s="24"/>
      <c r="B8" s="25"/>
      <c r="C8" s="27" t="s">
        <v>24</v>
      </c>
      <c r="D8" s="27">
        <v>335</v>
      </c>
      <c r="E8" s="25" t="s">
        <v>24</v>
      </c>
      <c r="F8" s="25">
        <v>319</v>
      </c>
      <c r="G8" s="27"/>
      <c r="H8" s="27"/>
    </row>
    <row r="9" spans="1:8" x14ac:dyDescent="0.2">
      <c r="A9" s="24"/>
      <c r="B9" s="25"/>
      <c r="C9" s="27" t="s">
        <v>24</v>
      </c>
      <c r="D9" s="27">
        <v>287</v>
      </c>
      <c r="E9" s="25"/>
      <c r="F9" s="25"/>
      <c r="G9" s="27"/>
      <c r="H9" s="27"/>
    </row>
    <row r="10" spans="1:8" x14ac:dyDescent="0.2">
      <c r="A10" s="24"/>
      <c r="B10" s="25"/>
      <c r="C10" s="27" t="s">
        <v>24</v>
      </c>
      <c r="D10" s="27">
        <v>320</v>
      </c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5</v>
      </c>
      <c r="B41" s="47">
        <f>SUM(B3:B40)</f>
        <v>1487</v>
      </c>
      <c r="C41" s="48">
        <f t="shared" ref="C41" si="0">COUNT(D3:D40)</f>
        <v>8</v>
      </c>
      <c r="D41" s="48">
        <f t="shared" ref="D41" si="1">SUM(D3:D40)</f>
        <v>2431</v>
      </c>
      <c r="E41" s="47">
        <f t="shared" ref="E41" si="2">COUNT(F3:F40)</f>
        <v>6</v>
      </c>
      <c r="F41" s="47">
        <f t="shared" ref="F41" si="3">SUM(F3:F40)</f>
        <v>1669</v>
      </c>
      <c r="G41" s="48">
        <f t="shared" ref="G41" si="4">COUNT(H3:H40)</f>
        <v>5</v>
      </c>
      <c r="H41" s="48">
        <f t="shared" ref="H41" si="5">SUM(H3:H40)</f>
        <v>1468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H41"/>
  <sheetViews>
    <sheetView workbookViewId="0">
      <selection activeCell="H8" sqref="H8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381</v>
      </c>
      <c r="C3" s="27" t="s">
        <v>24</v>
      </c>
      <c r="D3" s="27">
        <v>201</v>
      </c>
      <c r="E3" s="25" t="s">
        <v>24</v>
      </c>
      <c r="F3" s="25">
        <v>225</v>
      </c>
      <c r="G3" s="27" t="s">
        <v>24</v>
      </c>
      <c r="H3" s="27">
        <v>230</v>
      </c>
    </row>
    <row r="4" spans="1:8" x14ac:dyDescent="0.2">
      <c r="A4" s="24" t="s">
        <v>24</v>
      </c>
      <c r="B4" s="25">
        <v>255</v>
      </c>
      <c r="C4" s="27" t="s">
        <v>24</v>
      </c>
      <c r="D4" s="27">
        <v>233</v>
      </c>
      <c r="E4" s="25" t="s">
        <v>24</v>
      </c>
      <c r="F4" s="25">
        <v>210</v>
      </c>
      <c r="G4" s="27" t="s">
        <v>24</v>
      </c>
      <c r="H4" s="27">
        <v>235</v>
      </c>
    </row>
    <row r="5" spans="1:8" x14ac:dyDescent="0.2">
      <c r="A5" s="24" t="s">
        <v>24</v>
      </c>
      <c r="B5" s="25">
        <v>265</v>
      </c>
      <c r="C5" s="27" t="s">
        <v>24</v>
      </c>
      <c r="D5" s="27">
        <v>235</v>
      </c>
      <c r="E5" s="25" t="s">
        <v>24</v>
      </c>
      <c r="F5" s="25">
        <v>215</v>
      </c>
      <c r="G5" s="27" t="s">
        <v>24</v>
      </c>
      <c r="H5" s="27">
        <v>245</v>
      </c>
    </row>
    <row r="6" spans="1:8" x14ac:dyDescent="0.2">
      <c r="A6" s="24" t="s">
        <v>24</v>
      </c>
      <c r="B6" s="25">
        <v>258</v>
      </c>
      <c r="C6" s="27" t="s">
        <v>24</v>
      </c>
      <c r="D6" s="27">
        <v>235</v>
      </c>
      <c r="E6" s="25" t="s">
        <v>24</v>
      </c>
      <c r="F6" s="25">
        <v>210</v>
      </c>
      <c r="G6" s="27" t="s">
        <v>24</v>
      </c>
      <c r="H6" s="27">
        <v>247</v>
      </c>
    </row>
    <row r="7" spans="1:8" x14ac:dyDescent="0.2">
      <c r="A7" s="24" t="s">
        <v>24</v>
      </c>
      <c r="B7" s="25">
        <v>250</v>
      </c>
      <c r="C7" s="27"/>
      <c r="D7" s="27"/>
      <c r="E7" s="25" t="s">
        <v>24</v>
      </c>
      <c r="F7" s="25">
        <v>232</v>
      </c>
      <c r="G7" s="27" t="s">
        <v>24</v>
      </c>
      <c r="H7" s="27">
        <v>278</v>
      </c>
    </row>
    <row r="8" spans="1:8" x14ac:dyDescent="0.2">
      <c r="A8" s="24" t="s">
        <v>24</v>
      </c>
      <c r="B8" s="25">
        <v>365</v>
      </c>
      <c r="C8" s="27"/>
      <c r="D8" s="27"/>
      <c r="E8" s="25" t="s">
        <v>24</v>
      </c>
      <c r="F8" s="25">
        <v>245</v>
      </c>
      <c r="G8" s="27" t="s">
        <v>24</v>
      </c>
      <c r="H8" s="27">
        <v>259</v>
      </c>
    </row>
    <row r="9" spans="1:8" x14ac:dyDescent="0.2">
      <c r="A9" s="24"/>
      <c r="B9" s="25"/>
      <c r="C9" s="27"/>
      <c r="D9" s="27"/>
      <c r="E9" s="25" t="s">
        <v>24</v>
      </c>
      <c r="F9" s="25">
        <v>224</v>
      </c>
      <c r="G9" s="27"/>
      <c r="H9" s="27"/>
    </row>
    <row r="10" spans="1:8" x14ac:dyDescent="0.2">
      <c r="A10" s="24"/>
      <c r="B10" s="25"/>
      <c r="C10" s="27"/>
      <c r="D10" s="27"/>
      <c r="E10" s="25" t="s">
        <v>24</v>
      </c>
      <c r="F10" s="25">
        <v>219</v>
      </c>
      <c r="G10" s="27"/>
      <c r="H10" s="27"/>
    </row>
    <row r="11" spans="1:8" x14ac:dyDescent="0.2">
      <c r="A11" s="24"/>
      <c r="B11" s="25"/>
      <c r="C11" s="27"/>
      <c r="D11" s="27"/>
      <c r="E11" s="25" t="s">
        <v>24</v>
      </c>
      <c r="F11" s="25">
        <v>233</v>
      </c>
      <c r="G11" s="27"/>
      <c r="H11" s="27"/>
    </row>
    <row r="12" spans="1:8" x14ac:dyDescent="0.2">
      <c r="A12" s="24"/>
      <c r="B12" s="25"/>
      <c r="C12" s="27"/>
      <c r="D12" s="27"/>
      <c r="E12" s="25" t="s">
        <v>24</v>
      </c>
      <c r="F12" s="25">
        <v>234</v>
      </c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6</v>
      </c>
      <c r="B41" s="47">
        <f>SUM(B3:B40)</f>
        <v>1774</v>
      </c>
      <c r="C41" s="48">
        <f t="shared" ref="C41" si="0">COUNT(D3:D40)</f>
        <v>4</v>
      </c>
      <c r="D41" s="48">
        <f t="shared" ref="D41" si="1">SUM(D3:D40)</f>
        <v>904</v>
      </c>
      <c r="E41" s="47">
        <f t="shared" ref="E41" si="2">COUNT(F3:F40)</f>
        <v>10</v>
      </c>
      <c r="F41" s="47">
        <f t="shared" ref="F41" si="3">SUM(F3:F40)</f>
        <v>2247</v>
      </c>
      <c r="G41" s="48">
        <f t="shared" ref="G41" si="4">COUNT(H3:H40)</f>
        <v>6</v>
      </c>
      <c r="H41" s="48">
        <f t="shared" ref="H41" si="5">SUM(H3:H40)</f>
        <v>1494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H41"/>
  <sheetViews>
    <sheetView workbookViewId="0">
      <selection activeCell="H4" sqref="H4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344</v>
      </c>
      <c r="C3" s="24" t="s">
        <v>24</v>
      </c>
      <c r="D3" s="25">
        <v>312</v>
      </c>
      <c r="E3" s="25" t="s">
        <v>24</v>
      </c>
      <c r="F3" s="25">
        <v>317</v>
      </c>
      <c r="G3" s="27" t="s">
        <v>24</v>
      </c>
      <c r="H3" s="27">
        <v>245</v>
      </c>
    </row>
    <row r="4" spans="1:8" x14ac:dyDescent="0.2">
      <c r="A4" s="24" t="s">
        <v>24</v>
      </c>
      <c r="B4" s="25">
        <v>298</v>
      </c>
      <c r="C4" s="24" t="s">
        <v>24</v>
      </c>
      <c r="D4" s="25">
        <v>205</v>
      </c>
      <c r="E4" s="25" t="s">
        <v>24</v>
      </c>
      <c r="F4" s="25">
        <v>252</v>
      </c>
      <c r="G4" s="27" t="s">
        <v>24</v>
      </c>
      <c r="H4" s="27">
        <v>257</v>
      </c>
    </row>
    <row r="5" spans="1:8" x14ac:dyDescent="0.2">
      <c r="A5" s="24" t="s">
        <v>24</v>
      </c>
      <c r="B5" s="25">
        <v>342</v>
      </c>
      <c r="C5" s="24" t="s">
        <v>24</v>
      </c>
      <c r="D5" s="25">
        <v>230</v>
      </c>
      <c r="E5" s="25" t="s">
        <v>24</v>
      </c>
      <c r="F5" s="25">
        <v>215</v>
      </c>
      <c r="G5" s="27"/>
      <c r="H5" s="27"/>
    </row>
    <row r="6" spans="1:8" x14ac:dyDescent="0.2">
      <c r="A6" s="24" t="s">
        <v>24</v>
      </c>
      <c r="B6" s="25">
        <v>287</v>
      </c>
      <c r="C6" s="27"/>
      <c r="D6" s="27"/>
      <c r="E6" s="25" t="s">
        <v>24</v>
      </c>
      <c r="F6" s="25">
        <v>263</v>
      </c>
      <c r="G6" s="27"/>
      <c r="H6" s="27"/>
    </row>
    <row r="7" spans="1:8" x14ac:dyDescent="0.2">
      <c r="A7" s="24" t="s">
        <v>24</v>
      </c>
      <c r="B7" s="25">
        <v>260</v>
      </c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5</v>
      </c>
      <c r="B41" s="47">
        <f>SUM(B3:B40)</f>
        <v>1531</v>
      </c>
      <c r="C41" s="48">
        <f t="shared" ref="C41" si="0">COUNT(D3:D40)</f>
        <v>3</v>
      </c>
      <c r="D41" s="48">
        <f t="shared" ref="D41" si="1">SUM(D3:D40)</f>
        <v>747</v>
      </c>
      <c r="E41" s="47">
        <f t="shared" ref="E41" si="2">COUNT(F3:F40)</f>
        <v>4</v>
      </c>
      <c r="F41" s="47">
        <f t="shared" ref="F41" si="3">SUM(F3:F40)</f>
        <v>1047</v>
      </c>
      <c r="G41" s="48">
        <f t="shared" ref="G41" si="4">COUNT(H3:H40)</f>
        <v>2</v>
      </c>
      <c r="H41" s="48">
        <f t="shared" ref="H41" si="5">SUM(H3:H40)</f>
        <v>502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H3:H40 F3:F40 D3:D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G3:G40 E3:E40 C3:C40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H41"/>
  <sheetViews>
    <sheetView workbookViewId="0">
      <selection activeCell="H5" sqref="H5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353</v>
      </c>
      <c r="C3" s="27"/>
      <c r="D3" s="27"/>
      <c r="E3" s="25" t="s">
        <v>24</v>
      </c>
      <c r="F3" s="25">
        <v>380</v>
      </c>
      <c r="G3" s="27" t="s">
        <v>24</v>
      </c>
      <c r="H3" s="27">
        <v>208</v>
      </c>
    </row>
    <row r="4" spans="1:8" x14ac:dyDescent="0.2">
      <c r="A4" s="24"/>
      <c r="B4" s="25"/>
      <c r="C4" s="27"/>
      <c r="D4" s="27"/>
      <c r="E4" s="25" t="s">
        <v>24</v>
      </c>
      <c r="F4" s="25">
        <v>425</v>
      </c>
      <c r="G4" s="27" t="s">
        <v>24</v>
      </c>
      <c r="H4" s="27">
        <v>315</v>
      </c>
    </row>
    <row r="5" spans="1:8" x14ac:dyDescent="0.2">
      <c r="A5" s="24"/>
      <c r="B5" s="25"/>
      <c r="C5" s="27"/>
      <c r="D5" s="27"/>
      <c r="E5" s="25" t="s">
        <v>24</v>
      </c>
      <c r="F5" s="25">
        <v>332</v>
      </c>
      <c r="G5" s="27" t="s">
        <v>24</v>
      </c>
      <c r="H5" s="27">
        <v>248</v>
      </c>
    </row>
    <row r="6" spans="1:8" x14ac:dyDescent="0.2">
      <c r="A6" s="24"/>
      <c r="B6" s="25"/>
      <c r="C6" s="27"/>
      <c r="D6" s="27"/>
      <c r="E6" s="25" t="s">
        <v>24</v>
      </c>
      <c r="F6" s="25">
        <v>385</v>
      </c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1</v>
      </c>
      <c r="B41" s="47">
        <f>SUM(B3:B40)</f>
        <v>353</v>
      </c>
      <c r="C41" s="48">
        <f t="shared" ref="C41" si="0">COUNT(D3:D40)</f>
        <v>0</v>
      </c>
      <c r="D41" s="48">
        <f t="shared" ref="D41" si="1">SUM(D3:D40)</f>
        <v>0</v>
      </c>
      <c r="E41" s="47">
        <f t="shared" ref="E41" si="2">COUNT(F3:F40)</f>
        <v>4</v>
      </c>
      <c r="F41" s="47">
        <f t="shared" ref="F41" si="3">SUM(F3:F40)</f>
        <v>1522</v>
      </c>
      <c r="G41" s="48">
        <f t="shared" ref="G41" si="4">COUNT(H3:H40)</f>
        <v>3</v>
      </c>
      <c r="H41" s="48">
        <f t="shared" ref="H41" si="5">SUM(H3:H40)</f>
        <v>771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G41"/>
  <sheetViews>
    <sheetView topLeftCell="A4" workbookViewId="0">
      <selection activeCell="C6" sqref="C6"/>
    </sheetView>
  </sheetViews>
  <sheetFormatPr baseColWidth="10" defaultRowHeight="12.75" x14ac:dyDescent="0.2"/>
  <cols>
    <col min="2" max="2" width="3" customWidth="1"/>
    <col min="3" max="3" width="22.140625" customWidth="1"/>
  </cols>
  <sheetData>
    <row r="1" spans="1:7" x14ac:dyDescent="0.2">
      <c r="B1" s="5"/>
      <c r="C1" s="6" t="s">
        <v>3</v>
      </c>
      <c r="D1" s="7">
        <f>PARTICIPANTS!$B$45</f>
        <v>31</v>
      </c>
      <c r="E1" s="6"/>
      <c r="F1" s="6"/>
      <c r="G1" s="6"/>
    </row>
    <row r="2" spans="1:7" x14ac:dyDescent="0.2">
      <c r="B2" s="5"/>
      <c r="C2" s="6" t="s">
        <v>4</v>
      </c>
      <c r="D2" s="7">
        <v>5</v>
      </c>
      <c r="E2" s="6"/>
      <c r="F2" s="6"/>
      <c r="G2" s="6" t="s">
        <v>5</v>
      </c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8" t="s">
        <v>6</v>
      </c>
      <c r="E4" s="8" t="s">
        <v>7</v>
      </c>
      <c r="F4" s="8" t="s">
        <v>8</v>
      </c>
      <c r="G4" s="8" t="s">
        <v>9</v>
      </c>
    </row>
    <row r="5" spans="1:7" x14ac:dyDescent="0.2">
      <c r="A5" s="5"/>
      <c r="B5" s="5"/>
      <c r="C5" s="5"/>
      <c r="D5" s="5"/>
      <c r="E5" s="5"/>
      <c r="F5" s="5"/>
      <c r="G5" s="5"/>
    </row>
    <row r="6" spans="1:7" ht="15" x14ac:dyDescent="0.25">
      <c r="A6" s="5"/>
      <c r="B6" s="9">
        <v>1</v>
      </c>
      <c r="C6" s="9" t="str">
        <f>VLOOKUP(B6,PARTICIPANTS!$A$1:$E$35,3,FALSE)</f>
        <v>Ruisseau Olivier</v>
      </c>
      <c r="D6" s="10">
        <v>1</v>
      </c>
      <c r="E6" s="10">
        <v>4</v>
      </c>
      <c r="F6" s="10">
        <v>17</v>
      </c>
      <c r="G6" s="10">
        <v>15</v>
      </c>
    </row>
    <row r="7" spans="1:7" ht="15" x14ac:dyDescent="0.25">
      <c r="A7" s="5"/>
      <c r="B7" s="9">
        <v>2</v>
      </c>
      <c r="C7" s="9" t="str">
        <f>VLOOKUP(B7,PARTICIPANTS!$A$1:$E$35,3,FALSE)</f>
        <v>Briquemont Mathias</v>
      </c>
      <c r="D7" s="10">
        <v>2</v>
      </c>
      <c r="E7" s="10">
        <v>5</v>
      </c>
      <c r="F7" s="10">
        <v>18</v>
      </c>
      <c r="G7" s="10">
        <v>16</v>
      </c>
    </row>
    <row r="8" spans="1:7" ht="15" x14ac:dyDescent="0.25">
      <c r="A8" s="5"/>
      <c r="B8" s="9">
        <v>3</v>
      </c>
      <c r="C8" s="9" t="str">
        <f>VLOOKUP(B8,PARTICIPANTS!$A$1:$E$35,3,FALSE)</f>
        <v>DelFrari Romano</v>
      </c>
      <c r="D8" s="10">
        <v>3</v>
      </c>
      <c r="E8" s="10">
        <v>6</v>
      </c>
      <c r="F8" s="10">
        <v>19</v>
      </c>
      <c r="G8" s="10">
        <v>22</v>
      </c>
    </row>
    <row r="9" spans="1:7" ht="15" x14ac:dyDescent="0.25">
      <c r="A9" s="5"/>
      <c r="B9" s="9">
        <v>4</v>
      </c>
      <c r="C9" s="9" t="str">
        <f>VLOOKUP(B9,PARTICIPANTS!$A$1:$E$35,3,FALSE)</f>
        <v>Hockers  Thierry</v>
      </c>
      <c r="D9" s="10">
        <v>4</v>
      </c>
      <c r="E9" s="10">
        <v>1</v>
      </c>
      <c r="F9" s="10">
        <v>20</v>
      </c>
      <c r="G9" s="10">
        <v>23</v>
      </c>
    </row>
    <row r="10" spans="1:7" ht="15" x14ac:dyDescent="0.25">
      <c r="A10" s="5"/>
      <c r="B10" s="9">
        <v>5</v>
      </c>
      <c r="C10" s="9" t="str">
        <f>VLOOKUP(B10,PARTICIPANTS!$A$1:$E$35,3,FALSE)</f>
        <v>Aguado Nicolas</v>
      </c>
      <c r="D10" s="10">
        <v>5</v>
      </c>
      <c r="E10" s="10">
        <v>2</v>
      </c>
      <c r="F10" s="10">
        <v>21</v>
      </c>
      <c r="G10" s="10">
        <v>24</v>
      </c>
    </row>
    <row r="11" spans="1:7" ht="15" x14ac:dyDescent="0.25">
      <c r="A11" s="5"/>
      <c r="B11" s="9">
        <v>6</v>
      </c>
      <c r="C11" s="9" t="str">
        <f>VLOOKUP(B11,PARTICIPANTS!$A$1:$E$35,3,FALSE)</f>
        <v>Jamagne Thierry</v>
      </c>
      <c r="D11" s="10">
        <v>6</v>
      </c>
      <c r="E11" s="10">
        <v>3</v>
      </c>
      <c r="F11" s="10">
        <v>22</v>
      </c>
      <c r="G11" s="10">
        <v>19</v>
      </c>
    </row>
    <row r="12" spans="1:7" ht="15" x14ac:dyDescent="0.25">
      <c r="A12" s="5"/>
      <c r="B12" s="9">
        <v>7</v>
      </c>
      <c r="C12" s="9" t="str">
        <f>VLOOKUP(B12,PARTICIPANTS!$A$1:$E$35,3,FALSE)</f>
        <v>DiMarco David</v>
      </c>
      <c r="D12" s="10">
        <v>7</v>
      </c>
      <c r="E12" s="10">
        <v>9</v>
      </c>
      <c r="F12" s="10">
        <v>23</v>
      </c>
      <c r="G12" s="10">
        <v>20</v>
      </c>
    </row>
    <row r="13" spans="1:7" ht="15" x14ac:dyDescent="0.25">
      <c r="A13" s="5"/>
      <c r="B13" s="9">
        <v>8</v>
      </c>
      <c r="C13" s="9" t="str">
        <f>VLOOKUP(B13,PARTICIPANTS!$A$1:$E$35,3,FALSE)</f>
        <v>Coquette Arthur</v>
      </c>
      <c r="D13" s="10">
        <v>8</v>
      </c>
      <c r="E13" s="10">
        <v>10</v>
      </c>
      <c r="F13" s="10">
        <v>24</v>
      </c>
      <c r="G13" s="10">
        <v>21</v>
      </c>
    </row>
    <row r="14" spans="1:7" ht="15" x14ac:dyDescent="0.25">
      <c r="A14" s="5"/>
      <c r="B14" s="9">
        <v>9</v>
      </c>
      <c r="C14" s="9" t="str">
        <f>VLOOKUP(B14,PARTICIPANTS!$A$1:$E$35,3,FALSE)</f>
        <v>Bruninx Jean-Luc</v>
      </c>
      <c r="D14" s="10">
        <v>9</v>
      </c>
      <c r="E14" s="10">
        <v>7</v>
      </c>
      <c r="F14" s="10">
        <v>25</v>
      </c>
      <c r="G14" s="10">
        <v>29</v>
      </c>
    </row>
    <row r="15" spans="1:7" ht="15" x14ac:dyDescent="0.25">
      <c r="A15" s="5"/>
      <c r="B15" s="9">
        <v>10</v>
      </c>
      <c r="C15" s="9" t="str">
        <f>VLOOKUP(B15,PARTICIPANTS!$A$1:$E$35,3,FALSE)</f>
        <v>Mathieu Vincent</v>
      </c>
      <c r="D15" s="10">
        <v>10</v>
      </c>
      <c r="E15" s="10">
        <v>8</v>
      </c>
      <c r="F15" s="10">
        <v>26</v>
      </c>
      <c r="G15" s="10">
        <v>30</v>
      </c>
    </row>
    <row r="16" spans="1:7" ht="15" x14ac:dyDescent="0.25">
      <c r="A16" s="5"/>
      <c r="B16" s="9">
        <v>11</v>
      </c>
      <c r="C16" s="9" t="str">
        <f>VLOOKUP(B16,PARTICIPANTS!$A$1:$E$35,3,FALSE)</f>
        <v>Lambert Jacques</v>
      </c>
      <c r="D16" s="10">
        <v>11</v>
      </c>
      <c r="E16" s="10">
        <v>13</v>
      </c>
      <c r="F16" s="10">
        <v>27</v>
      </c>
      <c r="G16" s="10">
        <v>31</v>
      </c>
    </row>
    <row r="17" spans="1:7" ht="15" x14ac:dyDescent="0.25">
      <c r="A17" s="5"/>
      <c r="B17" s="9">
        <v>12</v>
      </c>
      <c r="C17" s="9" t="str">
        <f>VLOOKUP(B17,PARTICIPANTS!$A$1:$E$35,3,FALSE)</f>
        <v>Delhasse Jacques</v>
      </c>
      <c r="D17" s="10">
        <v>12</v>
      </c>
      <c r="E17" s="10">
        <v>14</v>
      </c>
      <c r="F17" s="10">
        <v>28</v>
      </c>
      <c r="G17" s="10">
        <v>32</v>
      </c>
    </row>
    <row r="18" spans="1:7" ht="15" x14ac:dyDescent="0.25">
      <c r="A18" s="5"/>
      <c r="B18" s="9">
        <v>13</v>
      </c>
      <c r="C18" s="9" t="str">
        <f>VLOOKUP(B18,PARTICIPANTS!$A$1:$E$35,3,FALSE)</f>
        <v>Sabaut Serge</v>
      </c>
      <c r="D18" s="10">
        <v>13</v>
      </c>
      <c r="E18" s="10">
        <v>11</v>
      </c>
      <c r="F18" s="10">
        <v>29</v>
      </c>
      <c r="G18" s="10">
        <v>25</v>
      </c>
    </row>
    <row r="19" spans="1:7" ht="15" x14ac:dyDescent="0.25">
      <c r="A19" s="5"/>
      <c r="B19" s="9">
        <v>14</v>
      </c>
      <c r="C19" s="9" t="str">
        <f>VLOOKUP(B19,PARTICIPANTS!$A$1:$E$35,3,FALSE)</f>
        <v>Bebelmans Ghislain</v>
      </c>
      <c r="D19" s="10">
        <v>14</v>
      </c>
      <c r="E19" s="10">
        <v>12</v>
      </c>
      <c r="F19" s="10">
        <v>30</v>
      </c>
      <c r="G19" s="10">
        <v>26</v>
      </c>
    </row>
    <row r="20" spans="1:7" ht="15" x14ac:dyDescent="0.25">
      <c r="A20" s="5"/>
      <c r="B20" s="9">
        <v>15</v>
      </c>
      <c r="C20" s="9" t="str">
        <f>VLOOKUP(B20,PARTICIPANTS!$A$1:$E$35,3,FALSE)</f>
        <v>Devooght Giani</v>
      </c>
      <c r="D20" s="10">
        <v>15</v>
      </c>
      <c r="E20" s="10">
        <v>17</v>
      </c>
      <c r="F20" s="10">
        <v>31</v>
      </c>
      <c r="G20" s="10">
        <v>27</v>
      </c>
    </row>
    <row r="21" spans="1:7" ht="15" x14ac:dyDescent="0.25">
      <c r="A21" s="5"/>
      <c r="B21" s="9">
        <v>16</v>
      </c>
      <c r="C21" s="9" t="str">
        <f>VLOOKUP(B21,PARTICIPANTS!$A$1:$E$35,3,FALSE)</f>
        <v>Leboutte Loïc</v>
      </c>
      <c r="D21" s="10">
        <v>16</v>
      </c>
      <c r="E21" s="10">
        <v>18</v>
      </c>
      <c r="F21" s="10">
        <v>32</v>
      </c>
      <c r="G21" s="10">
        <v>28</v>
      </c>
    </row>
    <row r="22" spans="1:7" ht="15" x14ac:dyDescent="0.25">
      <c r="A22" s="5"/>
      <c r="B22" s="9">
        <v>17</v>
      </c>
      <c r="C22" s="9" t="str">
        <f>VLOOKUP(B22,PARTICIPANTS!$A$1:$E$35,3,FALSE)</f>
        <v>Gigot Alain</v>
      </c>
      <c r="D22" s="10">
        <v>17</v>
      </c>
      <c r="E22" s="10">
        <v>15</v>
      </c>
      <c r="F22" s="10">
        <v>1</v>
      </c>
      <c r="G22" s="10">
        <v>4</v>
      </c>
    </row>
    <row r="23" spans="1:7" ht="15" x14ac:dyDescent="0.25">
      <c r="A23" s="5"/>
      <c r="B23" s="9">
        <v>18</v>
      </c>
      <c r="C23" s="9" t="str">
        <f>VLOOKUP(B23,PARTICIPANTS!$A$1:$E$35,3,FALSE)</f>
        <v>Frison Fabian</v>
      </c>
      <c r="D23" s="10">
        <v>18</v>
      </c>
      <c r="E23" s="10">
        <v>16</v>
      </c>
      <c r="F23" s="10">
        <v>2</v>
      </c>
      <c r="G23" s="10">
        <v>5</v>
      </c>
    </row>
    <row r="24" spans="1:7" ht="15" x14ac:dyDescent="0.25">
      <c r="A24" s="5"/>
      <c r="B24" s="9">
        <v>19</v>
      </c>
      <c r="C24" s="9" t="str">
        <f>VLOOKUP(B24,PARTICIPANTS!$A$1:$E$35,3,FALSE)</f>
        <v>Dequinze Benoit</v>
      </c>
      <c r="D24" s="10">
        <v>19</v>
      </c>
      <c r="E24" s="10">
        <v>22</v>
      </c>
      <c r="F24" s="10">
        <v>3</v>
      </c>
      <c r="G24" s="10">
        <v>6</v>
      </c>
    </row>
    <row r="25" spans="1:7" ht="15" x14ac:dyDescent="0.25">
      <c r="A25" s="5"/>
      <c r="B25" s="9">
        <v>20</v>
      </c>
      <c r="C25" s="9" t="str">
        <f>VLOOKUP(B25,PARTICIPANTS!$A$1:$E$35,3,FALSE)</f>
        <v>Marchais Philippe</v>
      </c>
      <c r="D25" s="10">
        <v>20</v>
      </c>
      <c r="E25" s="10">
        <v>23</v>
      </c>
      <c r="F25" s="10">
        <v>4</v>
      </c>
      <c r="G25" s="10">
        <v>1</v>
      </c>
    </row>
    <row r="26" spans="1:7" ht="15" x14ac:dyDescent="0.25">
      <c r="A26" s="5"/>
      <c r="B26" s="9">
        <v>21</v>
      </c>
      <c r="C26" s="9" t="str">
        <f>VLOOKUP(B26,PARTICIPANTS!$A$1:$E$35,3,FALSE)</f>
        <v>Dupont  Olivier</v>
      </c>
      <c r="D26" s="10">
        <v>21</v>
      </c>
      <c r="E26" s="10">
        <v>24</v>
      </c>
      <c r="F26" s="10">
        <v>5</v>
      </c>
      <c r="G26" s="10">
        <v>2</v>
      </c>
    </row>
    <row r="27" spans="1:7" ht="15" x14ac:dyDescent="0.25">
      <c r="A27" s="5"/>
      <c r="B27" s="9">
        <v>22</v>
      </c>
      <c r="C27" s="9" t="str">
        <f>VLOOKUP(B27,PARTICIPANTS!$A$1:$E$35,3,FALSE)</f>
        <v>Henrottin  Christian</v>
      </c>
      <c r="D27" s="10">
        <v>22</v>
      </c>
      <c r="E27" s="10">
        <v>19</v>
      </c>
      <c r="F27" s="10">
        <v>6</v>
      </c>
      <c r="G27" s="10">
        <v>3</v>
      </c>
    </row>
    <row r="28" spans="1:7" ht="15" x14ac:dyDescent="0.25">
      <c r="A28" s="5"/>
      <c r="B28" s="9">
        <v>23</v>
      </c>
      <c r="C28" s="9" t="str">
        <f>VLOOKUP(B28,PARTICIPANTS!$A$1:$E$35,3,FALSE)</f>
        <v>Curvers Maxime</v>
      </c>
      <c r="D28" s="10">
        <v>23</v>
      </c>
      <c r="E28" s="10">
        <v>20</v>
      </c>
      <c r="F28" s="10">
        <v>7</v>
      </c>
      <c r="G28" s="10">
        <v>9</v>
      </c>
    </row>
    <row r="29" spans="1:7" ht="15" x14ac:dyDescent="0.25">
      <c r="A29" s="5"/>
      <c r="B29" s="9">
        <v>24</v>
      </c>
      <c r="C29" s="9" t="str">
        <f>VLOOKUP(B29,PARTICIPANTS!$A$1:$E$35,3,FALSE)</f>
        <v>Cougnet  Ludovic</v>
      </c>
      <c r="D29" s="10">
        <v>24</v>
      </c>
      <c r="E29" s="10">
        <v>21</v>
      </c>
      <c r="F29" s="10">
        <v>8</v>
      </c>
      <c r="G29" s="10">
        <v>10</v>
      </c>
    </row>
    <row r="30" spans="1:7" ht="15" x14ac:dyDescent="0.25">
      <c r="A30" s="5"/>
      <c r="B30" s="9">
        <v>25</v>
      </c>
      <c r="C30" s="9" t="str">
        <f>VLOOKUP(B30,PARTICIPANTS!$A$1:$E$35,3,FALSE)</f>
        <v>Mathieu Christian</v>
      </c>
      <c r="D30" s="10">
        <v>25</v>
      </c>
      <c r="E30" s="10">
        <v>29</v>
      </c>
      <c r="F30" s="10">
        <v>9</v>
      </c>
      <c r="G30" s="10">
        <v>7</v>
      </c>
    </row>
    <row r="31" spans="1:7" ht="15" x14ac:dyDescent="0.25">
      <c r="A31" s="5"/>
      <c r="B31" s="9">
        <v>26</v>
      </c>
      <c r="C31" s="9" t="str">
        <f>VLOOKUP(B31,PARTICIPANTS!$A$1:$E$35,3,FALSE)</f>
        <v>Habran Jérémy</v>
      </c>
      <c r="D31" s="10">
        <v>26</v>
      </c>
      <c r="E31" s="10">
        <v>30</v>
      </c>
      <c r="F31" s="10">
        <v>10</v>
      </c>
      <c r="G31" s="10">
        <v>8</v>
      </c>
    </row>
    <row r="32" spans="1:7" ht="15" x14ac:dyDescent="0.25">
      <c r="A32" s="5"/>
      <c r="B32" s="9">
        <v>27</v>
      </c>
      <c r="C32" s="9" t="str">
        <f>VLOOKUP(B32,PARTICIPANTS!$A$1:$E$35,3,FALSE)</f>
        <v>Adam Christophe</v>
      </c>
      <c r="D32" s="10">
        <v>27</v>
      </c>
      <c r="E32" s="10">
        <v>31</v>
      </c>
      <c r="F32" s="10">
        <v>11</v>
      </c>
      <c r="G32" s="10">
        <v>13</v>
      </c>
    </row>
    <row r="33" spans="1:7" ht="15" x14ac:dyDescent="0.25">
      <c r="A33" s="5"/>
      <c r="B33" s="9">
        <v>28</v>
      </c>
      <c r="C33" s="9" t="str">
        <f>VLOOKUP(B33,PARTICIPANTS!$A$1:$E$35,3,FALSE)</f>
        <v>Lefert Quentin</v>
      </c>
      <c r="D33" s="10">
        <v>28</v>
      </c>
      <c r="E33" s="10">
        <v>32</v>
      </c>
      <c r="F33" s="10">
        <v>12</v>
      </c>
      <c r="G33" s="10">
        <v>14</v>
      </c>
    </row>
    <row r="34" spans="1:7" ht="15" x14ac:dyDescent="0.25">
      <c r="A34" s="5"/>
      <c r="B34" s="9">
        <v>29</v>
      </c>
      <c r="C34" s="9" t="str">
        <f>VLOOKUP(B34,PARTICIPANTS!$A$1:$E$35,3,FALSE)</f>
        <v>Lorquet Julien</v>
      </c>
      <c r="D34" s="10">
        <v>29</v>
      </c>
      <c r="E34" s="10">
        <v>25</v>
      </c>
      <c r="F34" s="10">
        <v>13</v>
      </c>
      <c r="G34" s="10">
        <v>11</v>
      </c>
    </row>
    <row r="35" spans="1:7" ht="15" x14ac:dyDescent="0.25">
      <c r="A35" s="5"/>
      <c r="B35" s="9">
        <v>30</v>
      </c>
      <c r="C35" s="9" t="str">
        <f>VLOOKUP(B35,PARTICIPANTS!$A$1:$E$35,3,FALSE)</f>
        <v>Saive Thibault</v>
      </c>
      <c r="D35" s="10">
        <v>30</v>
      </c>
      <c r="E35" s="10">
        <v>26</v>
      </c>
      <c r="F35" s="10">
        <v>14</v>
      </c>
      <c r="G35" s="10">
        <v>12</v>
      </c>
    </row>
    <row r="36" spans="1:7" ht="15" x14ac:dyDescent="0.25">
      <c r="A36" s="5"/>
      <c r="B36" s="9">
        <v>31</v>
      </c>
      <c r="C36" s="9" t="str">
        <f>VLOOKUP(B36,PARTICIPANTS!$A$1:$E$35,3,FALSE)</f>
        <v>Bracco Ludovic</v>
      </c>
      <c r="D36" s="10">
        <v>31</v>
      </c>
      <c r="E36" s="10">
        <v>27</v>
      </c>
      <c r="F36" s="10">
        <v>15</v>
      </c>
      <c r="G36" s="10">
        <v>17</v>
      </c>
    </row>
    <row r="37" spans="1:7" ht="15" x14ac:dyDescent="0.25">
      <c r="A37" s="5"/>
      <c r="B37" s="9">
        <v>32</v>
      </c>
      <c r="C37" s="9" t="str">
        <f>VLOOKUP(B37,PARTICIPANTS!$A$1:$E$35,3,FALSE)</f>
        <v>Destiné Martin</v>
      </c>
      <c r="D37" s="10">
        <v>32</v>
      </c>
      <c r="E37" s="10">
        <v>28</v>
      </c>
      <c r="F37" s="10">
        <v>16</v>
      </c>
      <c r="G37" s="10">
        <v>18</v>
      </c>
    </row>
    <row r="38" spans="1:7" ht="15" x14ac:dyDescent="0.25">
      <c r="A38" s="5"/>
      <c r="B38" s="9">
        <v>33</v>
      </c>
      <c r="C38" s="9" t="e">
        <f>VLOOKUP(B38,PARTICIPANTS!$A$1:$E$35,3,FALSE)</f>
        <v>#N/A</v>
      </c>
      <c r="D38" s="10"/>
      <c r="E38" s="10"/>
      <c r="F38" s="10"/>
      <c r="G38" s="10"/>
    </row>
    <row r="39" spans="1:7" ht="15" x14ac:dyDescent="0.25">
      <c r="A39" s="5"/>
      <c r="B39" s="9">
        <v>34</v>
      </c>
      <c r="C39" s="9" t="e">
        <f>VLOOKUP(B39,PARTICIPANTS!$A$1:$E$35,3,FALSE)</f>
        <v>#N/A</v>
      </c>
      <c r="D39" s="10"/>
      <c r="E39" s="10"/>
      <c r="F39" s="10"/>
      <c r="G39" s="10"/>
    </row>
    <row r="40" spans="1:7" ht="15" x14ac:dyDescent="0.25">
      <c r="A40" s="5"/>
      <c r="B40" s="12"/>
      <c r="C40" s="5"/>
      <c r="D40" s="13"/>
      <c r="E40" s="13"/>
      <c r="F40" s="13"/>
      <c r="G40" s="13"/>
    </row>
    <row r="41" spans="1:7" x14ac:dyDescent="0.2">
      <c r="A41" s="5"/>
      <c r="B41" s="5"/>
      <c r="C41" s="5"/>
      <c r="D41" s="5">
        <f t="shared" ref="D41:G41" si="0">SUM(D6:D26)</f>
        <v>231</v>
      </c>
      <c r="E41" s="5">
        <f t="shared" si="0"/>
        <v>240</v>
      </c>
      <c r="F41" s="5">
        <f t="shared" si="0"/>
        <v>407</v>
      </c>
      <c r="G41" s="5">
        <f t="shared" si="0"/>
        <v>406</v>
      </c>
    </row>
  </sheetData>
  <pageMargins left="0.7" right="0.7" top="0.75" bottom="0.75" header="0.3" footer="0.3"/>
  <pageSetup paperSize="9" scale="74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H41"/>
  <sheetViews>
    <sheetView workbookViewId="0">
      <selection activeCell="G4" sqref="G4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207</v>
      </c>
      <c r="C3" s="27" t="s">
        <v>24</v>
      </c>
      <c r="D3" s="27">
        <v>201</v>
      </c>
      <c r="E3" s="25" t="s">
        <v>24</v>
      </c>
      <c r="F3" s="25">
        <v>355</v>
      </c>
      <c r="G3" s="27"/>
      <c r="H3" s="27"/>
    </row>
    <row r="4" spans="1:8" x14ac:dyDescent="0.2">
      <c r="A4" s="24" t="s">
        <v>24</v>
      </c>
      <c r="B4" s="25">
        <v>214</v>
      </c>
      <c r="C4" s="27" t="s">
        <v>24</v>
      </c>
      <c r="D4" s="27">
        <v>206</v>
      </c>
      <c r="E4" s="25" t="s">
        <v>24</v>
      </c>
      <c r="F4" s="25">
        <v>325</v>
      </c>
      <c r="G4" s="27"/>
      <c r="H4" s="27"/>
    </row>
    <row r="5" spans="1:8" x14ac:dyDescent="0.2">
      <c r="A5" s="24" t="s">
        <v>24</v>
      </c>
      <c r="B5" s="25">
        <v>385</v>
      </c>
      <c r="C5" s="27" t="s">
        <v>24</v>
      </c>
      <c r="D5" s="27">
        <v>288</v>
      </c>
      <c r="E5" s="25" t="s">
        <v>24</v>
      </c>
      <c r="F5" s="25">
        <v>225</v>
      </c>
      <c r="G5" s="27"/>
      <c r="H5" s="27"/>
    </row>
    <row r="6" spans="1:8" x14ac:dyDescent="0.2">
      <c r="A6" s="24"/>
      <c r="B6" s="25"/>
      <c r="C6" s="27" t="s">
        <v>24</v>
      </c>
      <c r="D6" s="27">
        <v>318</v>
      </c>
      <c r="E6" s="25"/>
      <c r="F6" s="25"/>
      <c r="G6" s="27"/>
      <c r="H6" s="27"/>
    </row>
    <row r="7" spans="1:8" x14ac:dyDescent="0.2">
      <c r="A7" s="24"/>
      <c r="B7" s="25"/>
      <c r="C7" s="27" t="s">
        <v>24</v>
      </c>
      <c r="D7" s="27">
        <v>220</v>
      </c>
      <c r="E7" s="25"/>
      <c r="F7" s="25"/>
      <c r="G7" s="27"/>
      <c r="H7" s="27"/>
    </row>
    <row r="8" spans="1:8" x14ac:dyDescent="0.2">
      <c r="A8" s="24"/>
      <c r="B8" s="25"/>
      <c r="C8" s="27" t="s">
        <v>24</v>
      </c>
      <c r="D8" s="27">
        <v>221</v>
      </c>
      <c r="E8" s="25"/>
      <c r="F8" s="25"/>
      <c r="G8" s="27"/>
      <c r="H8" s="27"/>
    </row>
    <row r="9" spans="1:8" x14ac:dyDescent="0.2">
      <c r="A9" s="24"/>
      <c r="B9" s="25"/>
      <c r="C9" s="27" t="s">
        <v>24</v>
      </c>
      <c r="D9" s="27">
        <v>315</v>
      </c>
      <c r="E9" s="25"/>
      <c r="F9" s="25"/>
      <c r="G9" s="27"/>
      <c r="H9" s="27"/>
    </row>
    <row r="10" spans="1:8" x14ac:dyDescent="0.2">
      <c r="A10" s="24"/>
      <c r="B10" s="25"/>
      <c r="C10" s="27" t="s">
        <v>24</v>
      </c>
      <c r="D10" s="27">
        <v>280</v>
      </c>
      <c r="E10" s="25"/>
      <c r="F10" s="25"/>
      <c r="G10" s="27"/>
      <c r="H10" s="27"/>
    </row>
    <row r="11" spans="1:8" x14ac:dyDescent="0.2">
      <c r="A11" s="24"/>
      <c r="B11" s="25"/>
      <c r="C11" s="27" t="s">
        <v>24</v>
      </c>
      <c r="D11" s="27">
        <v>226</v>
      </c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3</v>
      </c>
      <c r="B41" s="47">
        <f>SUM(B3:B40)</f>
        <v>806</v>
      </c>
      <c r="C41" s="48">
        <f t="shared" ref="C41" si="0">COUNT(D3:D40)</f>
        <v>9</v>
      </c>
      <c r="D41" s="48">
        <f t="shared" ref="D41" si="1">SUM(D3:D40)</f>
        <v>2275</v>
      </c>
      <c r="E41" s="47">
        <f t="shared" ref="E41" si="2">COUNT(F3:F40)</f>
        <v>3</v>
      </c>
      <c r="F41" s="47">
        <f t="shared" ref="F41" si="3">SUM(F3:F40)</f>
        <v>905</v>
      </c>
      <c r="G41" s="48">
        <f t="shared" ref="G41" si="4">COUNT(H3:H40)</f>
        <v>0</v>
      </c>
      <c r="H41" s="48">
        <f t="shared" ref="H41" si="5">SUM(H3:H40)</f>
        <v>0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H41"/>
  <sheetViews>
    <sheetView workbookViewId="0">
      <selection activeCell="A3" sqref="A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/>
      <c r="B3" s="25"/>
      <c r="C3" s="27"/>
      <c r="D3" s="27"/>
      <c r="E3" s="25"/>
      <c r="F3" s="25"/>
      <c r="G3" s="27"/>
      <c r="H3" s="27"/>
    </row>
    <row r="4" spans="1:8" x14ac:dyDescent="0.2">
      <c r="A4" s="24"/>
      <c r="B4" s="25"/>
      <c r="C4" s="27"/>
      <c r="D4" s="27"/>
      <c r="E4" s="25"/>
      <c r="F4" s="25"/>
      <c r="G4" s="27"/>
      <c r="H4" s="27"/>
    </row>
    <row r="5" spans="1:8" x14ac:dyDescent="0.2">
      <c r="A5" s="24"/>
      <c r="B5" s="25"/>
      <c r="C5" s="27"/>
      <c r="D5" s="27"/>
      <c r="E5" s="25"/>
      <c r="F5" s="25"/>
      <c r="G5" s="27"/>
      <c r="H5" s="27"/>
    </row>
    <row r="6" spans="1:8" x14ac:dyDescent="0.2">
      <c r="A6" s="24"/>
      <c r="B6" s="25"/>
      <c r="C6" s="27"/>
      <c r="D6" s="27"/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0</v>
      </c>
      <c r="B41" s="47">
        <f>SUM(B3:B40)</f>
        <v>0</v>
      </c>
      <c r="C41" s="48">
        <f t="shared" ref="C41" si="0">COUNT(D3:D40)</f>
        <v>0</v>
      </c>
      <c r="D41" s="48">
        <f t="shared" ref="D41" si="1">SUM(D3:D40)</f>
        <v>0</v>
      </c>
      <c r="E41" s="47">
        <f t="shared" ref="E41" si="2">COUNT(F3:F40)</f>
        <v>0</v>
      </c>
      <c r="F41" s="47">
        <f t="shared" ref="F41" si="3">SUM(F3:F40)</f>
        <v>0</v>
      </c>
      <c r="G41" s="48">
        <f t="shared" ref="G41" si="4">COUNT(H3:H40)</f>
        <v>0</v>
      </c>
      <c r="H41" s="48">
        <f t="shared" ref="H41" si="5">SUM(H3:H40)</f>
        <v>0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H41"/>
  <sheetViews>
    <sheetView workbookViewId="0">
      <selection activeCell="A3" sqref="A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/>
      <c r="B3" s="25"/>
      <c r="C3" s="27"/>
      <c r="D3" s="27"/>
      <c r="E3" s="25"/>
      <c r="F3" s="25"/>
      <c r="G3" s="27"/>
      <c r="H3" s="27"/>
    </row>
    <row r="4" spans="1:8" x14ac:dyDescent="0.2">
      <c r="A4" s="24"/>
      <c r="B4" s="25"/>
      <c r="C4" s="27"/>
      <c r="D4" s="27"/>
      <c r="E4" s="25"/>
      <c r="F4" s="25"/>
      <c r="G4" s="27"/>
      <c r="H4" s="27"/>
    </row>
    <row r="5" spans="1:8" x14ac:dyDescent="0.2">
      <c r="A5" s="24"/>
      <c r="B5" s="25"/>
      <c r="C5" s="27"/>
      <c r="D5" s="27"/>
      <c r="E5" s="25"/>
      <c r="F5" s="25"/>
      <c r="G5" s="27"/>
      <c r="H5" s="27"/>
    </row>
    <row r="6" spans="1:8" x14ac:dyDescent="0.2">
      <c r="A6" s="24"/>
      <c r="B6" s="25"/>
      <c r="C6" s="27"/>
      <c r="D6" s="27"/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0</v>
      </c>
      <c r="B41" s="47">
        <f>SUM(B3:B40)</f>
        <v>0</v>
      </c>
      <c r="C41" s="48">
        <f t="shared" ref="C41" si="0">COUNT(D3:D40)</f>
        <v>0</v>
      </c>
      <c r="D41" s="48">
        <f t="shared" ref="D41" si="1">SUM(D3:D40)</f>
        <v>0</v>
      </c>
      <c r="E41" s="47">
        <f t="shared" ref="E41" si="2">COUNT(F3:F40)</f>
        <v>0</v>
      </c>
      <c r="F41" s="47">
        <f t="shared" ref="F41" si="3">SUM(F3:F40)</f>
        <v>0</v>
      </c>
      <c r="G41" s="48">
        <f t="shared" ref="G41" si="4">COUNT(H3:H40)</f>
        <v>0</v>
      </c>
      <c r="H41" s="48">
        <f t="shared" ref="H41" si="5">SUM(H3:H40)</f>
        <v>0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H41"/>
  <sheetViews>
    <sheetView workbookViewId="0">
      <selection activeCell="H3" sqref="H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/>
      <c r="B3" s="25"/>
      <c r="C3" s="27" t="s">
        <v>24</v>
      </c>
      <c r="D3" s="27">
        <v>263</v>
      </c>
      <c r="E3" s="25" t="s">
        <v>24</v>
      </c>
      <c r="F3" s="25">
        <v>335</v>
      </c>
      <c r="G3" s="27" t="s">
        <v>24</v>
      </c>
      <c r="H3" s="27">
        <v>265</v>
      </c>
    </row>
    <row r="4" spans="1:8" x14ac:dyDescent="0.2">
      <c r="A4" s="24"/>
      <c r="B4" s="25"/>
      <c r="C4" s="27" t="s">
        <v>24</v>
      </c>
      <c r="D4" s="27">
        <v>315</v>
      </c>
      <c r="E4" s="25" t="s">
        <v>24</v>
      </c>
      <c r="F4" s="25">
        <v>217</v>
      </c>
      <c r="G4" s="27"/>
      <c r="H4" s="27"/>
    </row>
    <row r="5" spans="1:8" x14ac:dyDescent="0.2">
      <c r="A5" s="24"/>
      <c r="B5" s="25"/>
      <c r="C5" s="27" t="s">
        <v>24</v>
      </c>
      <c r="D5" s="27">
        <v>275</v>
      </c>
      <c r="E5" s="25" t="s">
        <v>24</v>
      </c>
      <c r="F5" s="25">
        <v>242</v>
      </c>
      <c r="G5" s="27"/>
      <c r="H5" s="27"/>
    </row>
    <row r="6" spans="1:8" x14ac:dyDescent="0.2">
      <c r="A6" s="24"/>
      <c r="B6" s="25"/>
      <c r="C6" s="27"/>
      <c r="D6" s="27"/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0</v>
      </c>
      <c r="B41" s="47">
        <f>SUM(B3:B40)</f>
        <v>0</v>
      </c>
      <c r="C41" s="48">
        <f t="shared" ref="C41" si="0">COUNT(D3:D40)</f>
        <v>3</v>
      </c>
      <c r="D41" s="48">
        <f t="shared" ref="D41" si="1">SUM(D3:D40)</f>
        <v>853</v>
      </c>
      <c r="E41" s="47">
        <f t="shared" ref="E41" si="2">COUNT(F3:F40)</f>
        <v>3</v>
      </c>
      <c r="F41" s="47">
        <f t="shared" ref="F41" si="3">SUM(F3:F40)</f>
        <v>794</v>
      </c>
      <c r="G41" s="48">
        <f t="shared" ref="G41" si="4">COUNT(H3:H40)</f>
        <v>1</v>
      </c>
      <c r="H41" s="48">
        <f t="shared" ref="H41" si="5">SUM(H3:H40)</f>
        <v>265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H41"/>
  <sheetViews>
    <sheetView workbookViewId="0">
      <selection activeCell="H6" sqref="H6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/>
      <c r="B3" s="25"/>
      <c r="C3" s="27"/>
      <c r="D3" s="27"/>
      <c r="E3" s="25" t="s">
        <v>24</v>
      </c>
      <c r="F3" s="25">
        <v>255</v>
      </c>
      <c r="G3" s="27" t="s">
        <v>24</v>
      </c>
      <c r="H3" s="27">
        <v>240</v>
      </c>
    </row>
    <row r="4" spans="1:8" x14ac:dyDescent="0.2">
      <c r="A4" s="24"/>
      <c r="B4" s="25"/>
      <c r="C4" s="27"/>
      <c r="D4" s="27"/>
      <c r="E4" s="25" t="s">
        <v>24</v>
      </c>
      <c r="F4" s="25">
        <v>257</v>
      </c>
      <c r="G4" s="27" t="s">
        <v>24</v>
      </c>
      <c r="H4" s="27">
        <v>272</v>
      </c>
    </row>
    <row r="5" spans="1:8" x14ac:dyDescent="0.2">
      <c r="A5" s="24"/>
      <c r="B5" s="25"/>
      <c r="C5" s="27"/>
      <c r="D5" s="27"/>
      <c r="E5" s="25" t="s">
        <v>24</v>
      </c>
      <c r="F5" s="25">
        <v>235</v>
      </c>
      <c r="G5" s="27" t="s">
        <v>24</v>
      </c>
      <c r="H5" s="27">
        <v>200</v>
      </c>
    </row>
    <row r="6" spans="1:8" x14ac:dyDescent="0.2">
      <c r="A6" s="24"/>
      <c r="B6" s="25"/>
      <c r="C6" s="27"/>
      <c r="D6" s="27"/>
      <c r="E6" s="25" t="s">
        <v>24</v>
      </c>
      <c r="F6" s="25">
        <v>347</v>
      </c>
      <c r="G6" s="27" t="s">
        <v>24</v>
      </c>
      <c r="H6" s="27">
        <v>355</v>
      </c>
    </row>
    <row r="7" spans="1:8" x14ac:dyDescent="0.2">
      <c r="A7" s="24"/>
      <c r="B7" s="25"/>
      <c r="C7" s="27"/>
      <c r="D7" s="27"/>
      <c r="E7" s="25" t="s">
        <v>24</v>
      </c>
      <c r="F7" s="25">
        <v>340</v>
      </c>
      <c r="G7" s="27"/>
      <c r="H7" s="27"/>
    </row>
    <row r="8" spans="1:8" x14ac:dyDescent="0.2">
      <c r="A8" s="24"/>
      <c r="B8" s="25"/>
      <c r="C8" s="27"/>
      <c r="D8" s="27"/>
      <c r="E8" s="25" t="s">
        <v>24</v>
      </c>
      <c r="F8" s="25">
        <v>354</v>
      </c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0</v>
      </c>
      <c r="B41" s="47">
        <f>SUM(B3:B40)</f>
        <v>0</v>
      </c>
      <c r="C41" s="48">
        <f t="shared" ref="C41" si="0">COUNT(D3:D40)</f>
        <v>0</v>
      </c>
      <c r="D41" s="48">
        <f t="shared" ref="D41" si="1">SUM(D3:D40)</f>
        <v>0</v>
      </c>
      <c r="E41" s="47">
        <f t="shared" ref="E41" si="2">COUNT(F3:F40)</f>
        <v>6</v>
      </c>
      <c r="F41" s="47">
        <f t="shared" ref="F41" si="3">SUM(F3:F40)</f>
        <v>1788</v>
      </c>
      <c r="G41" s="48">
        <f t="shared" ref="G41" si="4">COUNT(H3:H40)</f>
        <v>4</v>
      </c>
      <c r="H41" s="48">
        <f t="shared" ref="H41" si="5">SUM(H3:H40)</f>
        <v>1067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H41"/>
  <sheetViews>
    <sheetView workbookViewId="0">
      <selection activeCell="G3" sqref="G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290</v>
      </c>
      <c r="C3" s="27" t="s">
        <v>24</v>
      </c>
      <c r="D3" s="27">
        <v>238</v>
      </c>
      <c r="E3" s="25" t="s">
        <v>24</v>
      </c>
      <c r="F3" s="25">
        <v>219</v>
      </c>
      <c r="G3" s="27"/>
      <c r="H3" s="27"/>
    </row>
    <row r="4" spans="1:8" x14ac:dyDescent="0.2">
      <c r="A4" s="24" t="s">
        <v>24</v>
      </c>
      <c r="B4" s="25">
        <v>310</v>
      </c>
      <c r="C4" s="27" t="s">
        <v>24</v>
      </c>
      <c r="D4" s="27">
        <v>238</v>
      </c>
      <c r="E4" s="25" t="s">
        <v>24</v>
      </c>
      <c r="F4" s="25">
        <v>201</v>
      </c>
      <c r="G4" s="27"/>
      <c r="H4" s="27"/>
    </row>
    <row r="5" spans="1:8" x14ac:dyDescent="0.2">
      <c r="A5" s="24" t="s">
        <v>24</v>
      </c>
      <c r="B5" s="25">
        <v>330</v>
      </c>
      <c r="C5" s="27" t="s">
        <v>24</v>
      </c>
      <c r="D5" s="27">
        <v>348</v>
      </c>
      <c r="E5" s="25" t="s">
        <v>24</v>
      </c>
      <c r="F5" s="25">
        <v>228</v>
      </c>
      <c r="G5" s="27"/>
      <c r="H5" s="27"/>
    </row>
    <row r="6" spans="1:8" x14ac:dyDescent="0.2">
      <c r="A6" s="24" t="s">
        <v>24</v>
      </c>
      <c r="B6" s="25">
        <v>237</v>
      </c>
      <c r="C6" s="27"/>
      <c r="D6" s="27"/>
      <c r="E6" s="25" t="s">
        <v>24</v>
      </c>
      <c r="F6" s="25">
        <v>221</v>
      </c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4</v>
      </c>
      <c r="B41" s="47">
        <f>SUM(B3:B40)</f>
        <v>1167</v>
      </c>
      <c r="C41" s="48">
        <f t="shared" ref="C41" si="0">COUNT(D3:D40)</f>
        <v>3</v>
      </c>
      <c r="D41" s="48">
        <f t="shared" ref="D41" si="1">SUM(D3:D40)</f>
        <v>824</v>
      </c>
      <c r="E41" s="47">
        <f t="shared" ref="E41" si="2">COUNT(F3:F40)</f>
        <v>4</v>
      </c>
      <c r="F41" s="47">
        <f t="shared" ref="F41" si="3">SUM(F3:F40)</f>
        <v>869</v>
      </c>
      <c r="G41" s="48">
        <f t="shared" ref="G41" si="4">COUNT(H3:H40)</f>
        <v>0</v>
      </c>
      <c r="H41" s="48">
        <f t="shared" ref="H41" si="5">SUM(H3:H40)</f>
        <v>0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H41"/>
  <sheetViews>
    <sheetView workbookViewId="0">
      <selection activeCell="H3" sqref="H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277</v>
      </c>
      <c r="C3" s="27" t="s">
        <v>24</v>
      </c>
      <c r="D3" s="27">
        <v>215</v>
      </c>
      <c r="E3" s="25"/>
      <c r="F3" s="25"/>
      <c r="G3" s="27" t="s">
        <v>24</v>
      </c>
      <c r="H3" s="27">
        <v>204</v>
      </c>
    </row>
    <row r="4" spans="1:8" x14ac:dyDescent="0.2">
      <c r="A4" s="24"/>
      <c r="B4" s="25"/>
      <c r="C4" s="27"/>
      <c r="D4" s="27"/>
      <c r="E4" s="25"/>
      <c r="F4" s="25"/>
      <c r="G4" s="27"/>
      <c r="H4" s="27"/>
    </row>
    <row r="5" spans="1:8" x14ac:dyDescent="0.2">
      <c r="A5" s="24"/>
      <c r="B5" s="25"/>
      <c r="C5" s="27"/>
      <c r="D5" s="27"/>
      <c r="E5" s="25"/>
      <c r="F5" s="25"/>
      <c r="G5" s="27"/>
      <c r="H5" s="27"/>
    </row>
    <row r="6" spans="1:8" x14ac:dyDescent="0.2">
      <c r="A6" s="24"/>
      <c r="B6" s="25"/>
      <c r="C6" s="27"/>
      <c r="D6" s="27"/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1</v>
      </c>
      <c r="B41" s="47">
        <f>SUM(B3:B40)</f>
        <v>277</v>
      </c>
      <c r="C41" s="48">
        <f t="shared" ref="C41" si="0">COUNT(D3:D40)</f>
        <v>1</v>
      </c>
      <c r="D41" s="48">
        <f t="shared" ref="D41" si="1">SUM(D3:D40)</f>
        <v>215</v>
      </c>
      <c r="E41" s="47">
        <f t="shared" ref="E41" si="2">COUNT(F3:F40)</f>
        <v>0</v>
      </c>
      <c r="F41" s="47">
        <f t="shared" ref="F41" si="3">SUM(F3:F40)</f>
        <v>0</v>
      </c>
      <c r="G41" s="48">
        <f t="shared" ref="G41" si="4">COUNT(H3:H40)</f>
        <v>1</v>
      </c>
      <c r="H41" s="48">
        <f t="shared" ref="H41" si="5">SUM(H3:H40)</f>
        <v>204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H41"/>
  <sheetViews>
    <sheetView workbookViewId="0">
      <selection activeCell="H3" sqref="H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/>
      <c r="B3" s="25"/>
      <c r="C3" s="27" t="s">
        <v>24</v>
      </c>
      <c r="D3" s="27">
        <v>212</v>
      </c>
      <c r="E3" s="25" t="s">
        <v>24</v>
      </c>
      <c r="F3" s="25">
        <v>311</v>
      </c>
      <c r="G3" s="27" t="s">
        <v>24</v>
      </c>
      <c r="H3" s="27">
        <v>250</v>
      </c>
    </row>
    <row r="4" spans="1:8" x14ac:dyDescent="0.2">
      <c r="A4" s="24"/>
      <c r="B4" s="25"/>
      <c r="C4" s="27" t="s">
        <v>24</v>
      </c>
      <c r="D4" s="27">
        <v>245</v>
      </c>
      <c r="E4" s="25" t="s">
        <v>24</v>
      </c>
      <c r="F4" s="25">
        <v>240</v>
      </c>
      <c r="G4" s="27"/>
      <c r="H4" s="27"/>
    </row>
    <row r="5" spans="1:8" x14ac:dyDescent="0.2">
      <c r="A5" s="24"/>
      <c r="B5" s="25"/>
      <c r="C5" s="27"/>
      <c r="D5" s="27"/>
      <c r="E5" s="25"/>
      <c r="F5" s="25"/>
      <c r="G5" s="27"/>
      <c r="H5" s="27"/>
    </row>
    <row r="6" spans="1:8" x14ac:dyDescent="0.2">
      <c r="A6" s="24"/>
      <c r="B6" s="25"/>
      <c r="C6" s="27"/>
      <c r="D6" s="27"/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0</v>
      </c>
      <c r="B41" s="47">
        <f>SUM(B3:B40)</f>
        <v>0</v>
      </c>
      <c r="C41" s="48">
        <f t="shared" ref="C41" si="0">COUNT(D3:D40)</f>
        <v>2</v>
      </c>
      <c r="D41" s="48">
        <f t="shared" ref="D41" si="1">SUM(D3:D40)</f>
        <v>457</v>
      </c>
      <c r="E41" s="47">
        <f t="shared" ref="E41" si="2">COUNT(F3:F40)</f>
        <v>2</v>
      </c>
      <c r="F41" s="47">
        <f t="shared" ref="F41" si="3">SUM(F3:F40)</f>
        <v>551</v>
      </c>
      <c r="G41" s="48">
        <f t="shared" ref="G41" si="4">COUNT(H3:H40)</f>
        <v>1</v>
      </c>
      <c r="H41" s="48">
        <f t="shared" ref="H41" si="5">SUM(H3:H40)</f>
        <v>250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H41"/>
  <sheetViews>
    <sheetView workbookViewId="0">
      <selection activeCell="A3" sqref="A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/>
      <c r="B3" s="25"/>
      <c r="C3" s="27"/>
      <c r="D3" s="27"/>
      <c r="E3" s="25"/>
      <c r="F3" s="25"/>
      <c r="G3" s="27"/>
      <c r="H3" s="27"/>
    </row>
    <row r="4" spans="1:8" x14ac:dyDescent="0.2">
      <c r="A4" s="24"/>
      <c r="B4" s="25"/>
      <c r="C4" s="27"/>
      <c r="D4" s="27"/>
      <c r="E4" s="25"/>
      <c r="F4" s="25"/>
      <c r="G4" s="27"/>
      <c r="H4" s="27"/>
    </row>
    <row r="5" spans="1:8" x14ac:dyDescent="0.2">
      <c r="A5" s="24"/>
      <c r="B5" s="25"/>
      <c r="C5" s="27"/>
      <c r="D5" s="27"/>
      <c r="E5" s="25"/>
      <c r="F5" s="25"/>
      <c r="G5" s="27"/>
      <c r="H5" s="27"/>
    </row>
    <row r="6" spans="1:8" x14ac:dyDescent="0.2">
      <c r="A6" s="24"/>
      <c r="B6" s="25"/>
      <c r="C6" s="27"/>
      <c r="D6" s="27"/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0</v>
      </c>
      <c r="B41" s="47">
        <f>SUM(B3:B40)</f>
        <v>0</v>
      </c>
      <c r="C41" s="48">
        <f t="shared" ref="C41" si="0">COUNT(D3:D40)</f>
        <v>0</v>
      </c>
      <c r="D41" s="48">
        <f t="shared" ref="D41" si="1">SUM(D3:D40)</f>
        <v>0</v>
      </c>
      <c r="E41" s="47">
        <f t="shared" ref="E41" si="2">COUNT(F3:F40)</f>
        <v>0</v>
      </c>
      <c r="F41" s="47">
        <f t="shared" ref="F41" si="3">SUM(F3:F40)</f>
        <v>0</v>
      </c>
      <c r="G41" s="48">
        <f t="shared" ref="G41" si="4">COUNT(H3:H40)</f>
        <v>0</v>
      </c>
      <c r="H41" s="48">
        <f t="shared" ref="H41" si="5">SUM(H3:H40)</f>
        <v>0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H41"/>
  <sheetViews>
    <sheetView workbookViewId="0">
      <selection activeCell="J13" sqref="J1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246</v>
      </c>
      <c r="C3" s="27" t="s">
        <v>24</v>
      </c>
      <c r="D3" s="27">
        <v>380</v>
      </c>
      <c r="E3" s="25" t="s">
        <v>24</v>
      </c>
      <c r="F3" s="25">
        <v>318</v>
      </c>
      <c r="G3" s="27" t="s">
        <v>24</v>
      </c>
      <c r="H3" s="27">
        <v>226</v>
      </c>
    </row>
    <row r="4" spans="1:8" x14ac:dyDescent="0.2">
      <c r="A4" s="24"/>
      <c r="B4" s="25"/>
      <c r="C4" s="27" t="s">
        <v>24</v>
      </c>
      <c r="D4" s="27">
        <v>382</v>
      </c>
      <c r="E4" s="25" t="s">
        <v>24</v>
      </c>
      <c r="F4" s="25">
        <v>386</v>
      </c>
      <c r="G4" s="27" t="s">
        <v>24</v>
      </c>
      <c r="H4" s="27">
        <v>309</v>
      </c>
    </row>
    <row r="5" spans="1:8" x14ac:dyDescent="0.2">
      <c r="A5" s="24"/>
      <c r="B5" s="25"/>
      <c r="C5" s="27" t="s">
        <v>24</v>
      </c>
      <c r="D5" s="27">
        <v>260</v>
      </c>
      <c r="E5" s="25" t="s">
        <v>24</v>
      </c>
      <c r="F5" s="25">
        <v>338</v>
      </c>
      <c r="G5" s="27" t="s">
        <v>24</v>
      </c>
      <c r="H5" s="27">
        <v>346</v>
      </c>
    </row>
    <row r="6" spans="1:8" x14ac:dyDescent="0.2">
      <c r="A6" s="24"/>
      <c r="B6" s="25"/>
      <c r="C6" s="27" t="s">
        <v>24</v>
      </c>
      <c r="D6" s="27">
        <v>215</v>
      </c>
      <c r="E6" s="25"/>
      <c r="F6" s="25"/>
      <c r="G6" s="27" t="s">
        <v>24</v>
      </c>
      <c r="H6" s="27">
        <v>345</v>
      </c>
    </row>
    <row r="7" spans="1:8" x14ac:dyDescent="0.2">
      <c r="A7" s="24"/>
      <c r="B7" s="25"/>
      <c r="C7" s="27" t="s">
        <v>24</v>
      </c>
      <c r="D7" s="27">
        <v>257</v>
      </c>
      <c r="E7" s="25"/>
      <c r="F7" s="25"/>
      <c r="G7" s="27"/>
      <c r="H7" s="27"/>
    </row>
    <row r="8" spans="1:8" x14ac:dyDescent="0.2">
      <c r="A8" s="24"/>
      <c r="B8" s="25"/>
      <c r="C8" s="27" t="s">
        <v>24</v>
      </c>
      <c r="D8" s="27">
        <v>256</v>
      </c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1</v>
      </c>
      <c r="B41" s="47">
        <f>SUM(B3:B40)</f>
        <v>246</v>
      </c>
      <c r="C41" s="48">
        <f t="shared" ref="C41" si="0">COUNT(D3:D40)</f>
        <v>6</v>
      </c>
      <c r="D41" s="48">
        <f t="shared" ref="D41" si="1">SUM(D3:D40)</f>
        <v>1750</v>
      </c>
      <c r="E41" s="47">
        <f t="shared" ref="E41" si="2">COUNT(F3:F40)</f>
        <v>3</v>
      </c>
      <c r="F41" s="47">
        <f t="shared" ref="F41" si="3">SUM(F3:F40)</f>
        <v>1042</v>
      </c>
      <c r="G41" s="48">
        <f t="shared" ref="G41" si="4">COUNT(H3:H40)</f>
        <v>4</v>
      </c>
      <c r="H41" s="48">
        <f t="shared" ref="H41" si="5">SUM(H3:H40)</f>
        <v>1226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AF42"/>
  <sheetViews>
    <sheetView tabSelected="1" workbookViewId="0">
      <selection activeCell="AG38" sqref="AG38"/>
    </sheetView>
  </sheetViews>
  <sheetFormatPr baseColWidth="10" defaultRowHeight="12.75" x14ac:dyDescent="0.2"/>
  <cols>
    <col min="1" max="1" width="11.28515625" bestFit="1" customWidth="1"/>
    <col min="2" max="2" width="5.5703125" bestFit="1" customWidth="1"/>
    <col min="3" max="3" width="19.28515625" bestFit="1" customWidth="1"/>
    <col min="4" max="4" width="7.140625" customWidth="1"/>
    <col min="5" max="5" width="11" bestFit="1" customWidth="1"/>
    <col min="6" max="6" width="8.28515625" bestFit="1" customWidth="1"/>
    <col min="7" max="7" width="8.85546875" bestFit="1" customWidth="1"/>
    <col min="8" max="8" width="7.7109375" bestFit="1" customWidth="1"/>
    <col min="9" max="9" width="7.7109375" customWidth="1"/>
    <col min="10" max="10" width="11.5703125" bestFit="1" customWidth="1"/>
    <col min="11" max="11" width="7" bestFit="1" customWidth="1"/>
    <col min="12" max="12" width="9.28515625" bestFit="1" customWidth="1"/>
    <col min="13" max="13" width="10.28515625" style="33" bestFit="1" customWidth="1"/>
    <col min="14" max="14" width="8.140625" style="33" bestFit="1" customWidth="1"/>
    <col min="15" max="15" width="6.140625" customWidth="1"/>
    <col min="16" max="16" width="11.7109375" bestFit="1" customWidth="1"/>
    <col min="17" max="17" width="7" bestFit="1" customWidth="1"/>
    <col min="18" max="18" width="6.42578125" bestFit="1" customWidth="1"/>
    <col min="19" max="19" width="10.28515625" bestFit="1" customWidth="1"/>
    <col min="20" max="20" width="6.140625" bestFit="1" customWidth="1"/>
    <col min="21" max="21" width="6.140625" customWidth="1"/>
    <col min="22" max="22" width="9.140625" customWidth="1"/>
    <col min="23" max="23" width="6.28515625" bestFit="1" customWidth="1"/>
    <col min="24" max="24" width="6.42578125" bestFit="1" customWidth="1"/>
    <col min="25" max="25" width="10.28515625" bestFit="1" customWidth="1"/>
    <col min="26" max="26" width="6.140625" bestFit="1" customWidth="1"/>
    <col min="27" max="27" width="6.140625" customWidth="1"/>
    <col min="28" max="28" width="9" customWidth="1"/>
    <col min="29" max="29" width="6.28515625" bestFit="1" customWidth="1"/>
    <col min="30" max="30" width="8.42578125" bestFit="1" customWidth="1"/>
    <col min="31" max="31" width="10.28515625" bestFit="1" customWidth="1"/>
    <col min="32" max="32" width="6.140625" bestFit="1" customWidth="1"/>
  </cols>
  <sheetData>
    <row r="1" spans="1:32" ht="13.5" thickBot="1" x14ac:dyDescent="0.25">
      <c r="C1" s="15" t="s">
        <v>10</v>
      </c>
      <c r="D1" s="15"/>
      <c r="E1" s="100" t="s">
        <v>10</v>
      </c>
      <c r="F1" s="100"/>
      <c r="G1" s="100"/>
      <c r="H1" s="100"/>
      <c r="I1" s="101" t="s">
        <v>6</v>
      </c>
      <c r="J1" s="102"/>
      <c r="K1" s="102"/>
      <c r="L1" s="102"/>
      <c r="M1" s="102"/>
      <c r="N1" s="103"/>
      <c r="O1" s="101" t="s">
        <v>11</v>
      </c>
      <c r="P1" s="104"/>
      <c r="Q1" s="104"/>
      <c r="R1" s="104"/>
      <c r="S1" s="104"/>
      <c r="T1" s="103"/>
      <c r="U1" s="101" t="s">
        <v>8</v>
      </c>
      <c r="V1" s="104"/>
      <c r="W1" s="104"/>
      <c r="X1" s="104"/>
      <c r="Y1" s="104"/>
      <c r="Z1" s="103"/>
      <c r="AA1" s="101" t="s">
        <v>9</v>
      </c>
      <c r="AB1" s="104"/>
      <c r="AC1" s="104"/>
      <c r="AD1" s="104"/>
      <c r="AE1" s="104"/>
      <c r="AF1" s="103"/>
    </row>
    <row r="2" spans="1:32" ht="13.5" thickBot="1" x14ac:dyDescent="0.25">
      <c r="A2" s="55" t="s">
        <v>29</v>
      </c>
      <c r="B2" s="56" t="s">
        <v>0</v>
      </c>
      <c r="C2" s="57" t="s">
        <v>16</v>
      </c>
      <c r="D2" s="57" t="s">
        <v>41</v>
      </c>
      <c r="E2" s="54" t="s">
        <v>28</v>
      </c>
      <c r="F2" s="29" t="s">
        <v>31</v>
      </c>
      <c r="G2" s="29" t="s">
        <v>13</v>
      </c>
      <c r="H2" s="30" t="s">
        <v>30</v>
      </c>
      <c r="I2" s="60" t="s">
        <v>42</v>
      </c>
      <c r="J2" s="110" t="s">
        <v>43</v>
      </c>
      <c r="K2" s="111" t="s">
        <v>13</v>
      </c>
      <c r="L2" s="112" t="s">
        <v>27</v>
      </c>
      <c r="M2" s="113" t="s">
        <v>25</v>
      </c>
      <c r="N2" s="114" t="s">
        <v>26</v>
      </c>
      <c r="O2" s="60" t="s">
        <v>42</v>
      </c>
      <c r="P2" s="110" t="s">
        <v>12</v>
      </c>
      <c r="Q2" s="111" t="s">
        <v>13</v>
      </c>
      <c r="R2" s="112" t="s">
        <v>27</v>
      </c>
      <c r="S2" s="115" t="s">
        <v>25</v>
      </c>
      <c r="T2" s="116" t="s">
        <v>26</v>
      </c>
      <c r="U2" s="60" t="s">
        <v>42</v>
      </c>
      <c r="V2" s="110" t="s">
        <v>12</v>
      </c>
      <c r="W2" s="111" t="s">
        <v>13</v>
      </c>
      <c r="X2" s="112" t="s">
        <v>27</v>
      </c>
      <c r="Y2" s="115" t="s">
        <v>25</v>
      </c>
      <c r="Z2" s="116" t="s">
        <v>26</v>
      </c>
      <c r="AA2" s="60" t="s">
        <v>42</v>
      </c>
      <c r="AB2" s="110" t="s">
        <v>12</v>
      </c>
      <c r="AC2" s="111" t="s">
        <v>13</v>
      </c>
      <c r="AD2" s="112" t="s">
        <v>27</v>
      </c>
      <c r="AE2" s="115" t="s">
        <v>25</v>
      </c>
      <c r="AF2" s="116" t="s">
        <v>26</v>
      </c>
    </row>
    <row r="3" spans="1:32" ht="13.5" thickBot="1" x14ac:dyDescent="0.25">
      <c r="A3" s="64">
        <f>RANK(E3,$E$3:$E$36,1)</f>
        <v>4</v>
      </c>
      <c r="B3" s="65">
        <v>1</v>
      </c>
      <c r="C3" s="66" t="str">
        <f>VLOOKUP($B3,PARTICIPANTS!$B$1:$E$35,2,FALSE)</f>
        <v>Adam Christophe</v>
      </c>
      <c r="D3" s="66" t="str">
        <f>VLOOKUP($B3,PARTICIPANTS!$B$1:$E$35,3,FALSE)</f>
        <v>S</v>
      </c>
      <c r="E3" s="84">
        <f>SUM(J3,P3,V3,AB3)+F3</f>
        <v>32</v>
      </c>
      <c r="F3" s="67">
        <v>0</v>
      </c>
      <c r="G3" s="67">
        <f>K3+Q3+W3+AC3</f>
        <v>9664</v>
      </c>
      <c r="H3" s="109">
        <f>M3+N3+S3+T3+Y3+Z3+AE3+AF3</f>
        <v>20</v>
      </c>
      <c r="I3" s="71">
        <f>VLOOKUP($C3,Rotations!$C$6:$G$37,2,FALSE)</f>
        <v>27</v>
      </c>
      <c r="J3" s="117">
        <f>IF(($D3="S"),IF(PARTICIPANTS!$E2="P",IF((K3&gt;0),RANK(K3,K$3:K$36)-SUMPRODUCT(($D$3:$D$36&lt;&gt;$D3)*(K$3:K$36&gt;K3)),IF(($D3="s"),COUNTIFS($D$3:$D$36,"=S",K$3:K$36,"&gt;0"),COUNTIFS($D$3:$D$36,"=J",K$3:K$36,"&gt;0"))+PARTICIPANTS!$B$41),PARTICIPANTS!$B$39+PARTICIPANTS!$B$41 ),IF(PARTICIPANTS!$E2="P",IF((K3&gt;0),RANK(K3,K$3:K$27)-SUMPRODUCT(($D$3:$D$36&lt;&gt;$D3)*(K$3:K$36&gt;K3)),IF(($D3="s"),COUNTIFS($D$3:$D$36,"=S",K$3:K$27,"&gt;0"),COUNTIFS($D$3:$D$36,"=J",K$3:K$36,"&gt;0"))+PARTICIPANTS!$E$41),PARTICIPANTS!$E$39+PARTICIPANTS!$E$41 ))</f>
        <v>15</v>
      </c>
      <c r="K3" s="117">
        <f>(M3*200)+(N3*10)+L3</f>
        <v>1442</v>
      </c>
      <c r="L3" s="117">
        <f>'Adam Christophe'!$B$41</f>
        <v>842</v>
      </c>
      <c r="M3" s="118">
        <f>COUNTIFS('Adam Christophe'!$A$3:$A$40,"=S")</f>
        <v>3</v>
      </c>
      <c r="N3" s="119">
        <f>COUNTIFS('Adam Christophe'!$A$3:$A$40,"=A")</f>
        <v>0</v>
      </c>
      <c r="O3" s="71">
        <f>VLOOKUP($C3,Rotations!$C$6:$G$37,3,FALSE)</f>
        <v>31</v>
      </c>
      <c r="P3" s="117">
        <f>IF(($D3="S"),IF(PARTICIPANTS!$E2="P",IF((Q3&gt;0),RANK(Q3,Q$3:Q$36)-SUMPRODUCT(($D$3:$D$36&lt;&gt;$D3)*(Q$3:Q$36&gt;Q3)),IF(($D3="s"),COUNTIFS($D$3:$D$36,"=S",Q$3:Q$36,"&gt;0"),COUNTIFS($D$3:$D$36,"=J",Q$3:Q$36,"&gt;0"))+PARTICIPANTS!$B$41),PARTICIPANTS!$B$39+PARTICIPANTS!$B$41 ),IF(PARTICIPANTS!$E2="P",IF((Q3&gt;0),RANK(Q3,Q$3:Q$36)-SUMPRODUCT(($D$3:$D$36&lt;&gt;$D3)*(Q$3:Q$36&gt;Q3)),IF(($D3="s"),COUNTIFS($D$3:$D$36,"=S",Q$3:Q$36,"&gt;0"),COUNTIFS($D$3:$D$36,"=J",Q$3:Q$36,"&gt;0"))+PARTICIPANTS!$E$41),PARTICIPANTS!$E$39+PARTICIPANTS!$E$41 ))</f>
        <v>7</v>
      </c>
      <c r="Q3" s="117">
        <f>(S3*200)+(T3*10)+R3</f>
        <v>1961</v>
      </c>
      <c r="R3" s="117">
        <f>'Adam Christophe'!$D$41</f>
        <v>1161</v>
      </c>
      <c r="S3" s="117">
        <f>COUNTIFS('Adam Christophe'!$C$3:$C$40,"=S")</f>
        <v>4</v>
      </c>
      <c r="T3" s="126">
        <f>COUNTIFS('Adam Christophe'!$C$3:$C$40,"=A")</f>
        <v>0</v>
      </c>
      <c r="U3" s="71">
        <f>VLOOKUP($C3,Rotations!$C$6:$G$37,4,FALSE)</f>
        <v>11</v>
      </c>
      <c r="V3" s="117">
        <f>IF(($D3="S"),IF(PARTICIPANTS!$E2="P",IF((W3&gt;0),RANK(W3,W$3:W$36)-SUMPRODUCT(($D$3:$D$36&lt;&gt;$D3)*(W$3:W$36&gt;W3)),IF(($D3="s"),COUNTIFS($D$3:$D$36,"=S",W$3:W$36,"&gt;0"),COUNTIFS($D$3:$D$36,"=J",W$3:W$36,"&gt;0"))+PARTICIPANTS!$B$41),PARTICIPANTS!$B$39+PARTICIPANTS!$B$41 ),IF(PARTICIPANTS!$E2="P",IF((W3&gt;0),RANK(W3,W$3:W$36)-SUMPRODUCT(($D$3:$D$36&lt;&gt;$D3)*(W$3:W$36&gt;W3)),IF(($D3="s"),COUNTIFS($D$3:$D$36,"=S",W$3:W$36,"&gt;0"),COUNTIFS($D$3:$D$36,"=J",W$3:W$36,"&gt;0"))+PARTICIPANTS!$E$41),PARTICIPANTS!$E$39+PARTICIPANTS!$E$41 ))</f>
        <v>1</v>
      </c>
      <c r="W3" s="117">
        <f>(Y3*200)+(Z3*20)+X3</f>
        <v>4358</v>
      </c>
      <c r="X3" s="117">
        <f>'Adam Christophe'!$F$41</f>
        <v>2558</v>
      </c>
      <c r="Y3" s="117">
        <f>COUNTIFS('Adam Christophe'!$E$3:$E$40,"=S")</f>
        <v>9</v>
      </c>
      <c r="Z3" s="126">
        <f>COUNTIFS('Adam Christophe'!$E$3:$E$40,"=A")</f>
        <v>0</v>
      </c>
      <c r="AA3" s="71">
        <f>VLOOKUP($C3,Rotations!$C$6:$G$37,5,FALSE)</f>
        <v>13</v>
      </c>
      <c r="AB3" s="117">
        <f>IF(($D3="S"),IF(PARTICIPANTS!$E2="P",IF((AC3&gt;0),RANK(AC3,AC$3:AC$36)-SUMPRODUCT(($D$3:$D$36&lt;&gt;$D3)*(AC$3:AC$36&gt;AC3)),IF(($D3="s"),COUNTIFS($D$3:$D$36,"=S",AC$3:AC$36,"&gt;0"),COUNTIFS($D$3:$D$36,"=J",AC$3:AC$36,"&gt;0"))+PARTICIPANTS!$B$41),PARTICIPANTS!$B$39+PARTICIPANTS!$B$41 ),IF(PARTICIPANTS!$E2="P",IF((AC3&gt;0),RANK(AC3,AC$3:AC$36)-SUMPRODUCT(($D$3:$D$36&lt;&gt;$D3)*(AC$3:AC$36&gt;AC3)),IF(($D3="s"),COUNTIFS($D$3:$D$36,"=S",AC$3:AC$36,"&gt;0"),COUNTIFS($D$3:$D$36,"=J",AC$3:AC$36,"&gt;0"))+PARTICIPANTS!$E$41),PARTICIPANTS!$E$39+PARTICIPANTS!$E$41 ))</f>
        <v>9</v>
      </c>
      <c r="AC3" s="117">
        <f>(AE3*200)+(AF3*20)+AD3</f>
        <v>1903</v>
      </c>
      <c r="AD3" s="117">
        <f>'Adam Christophe'!$H$41</f>
        <v>1103</v>
      </c>
      <c r="AE3" s="117">
        <f>COUNTIFS('Adam Christophe'!$G$3:$G$40,"=S")</f>
        <v>4</v>
      </c>
      <c r="AF3" s="126">
        <f>COUNTIFS('Adam Christophe'!$G$3:$G$40,"=A")</f>
        <v>0</v>
      </c>
    </row>
    <row r="4" spans="1:32" ht="13.5" thickBot="1" x14ac:dyDescent="0.25">
      <c r="A4" s="64">
        <f>RANK(E4,$E$3:$E$36,1)</f>
        <v>10</v>
      </c>
      <c r="B4" s="65">
        <v>2</v>
      </c>
      <c r="C4" s="66" t="str">
        <f>VLOOKUP($B4,PARTICIPANTS!$B$1:$E$35,2,FALSE)</f>
        <v>Aguado Nicolas</v>
      </c>
      <c r="D4" s="66" t="str">
        <f>VLOOKUP($B4,PARTICIPANTS!$B$1:$E$35,3,FALSE)</f>
        <v>S</v>
      </c>
      <c r="E4" s="84">
        <f>SUM(J4,P4,V4,AB4)+F4</f>
        <v>55</v>
      </c>
      <c r="F4" s="67">
        <v>0</v>
      </c>
      <c r="G4" s="67">
        <f>K4+Q4+W4+AC4</f>
        <v>7442</v>
      </c>
      <c r="H4" s="109">
        <f>M4+N4+S4+T4+Y4+Z4+AE4+AF4</f>
        <v>15</v>
      </c>
      <c r="I4" s="120">
        <f>VLOOKUP($C4,Rotations!$C$6:$G$37,2,FALSE)</f>
        <v>5</v>
      </c>
      <c r="J4" s="61">
        <f>IF(($D4="S"),IF(PARTICIPANTS!$E3="P",IF((K4&gt;0),RANK(K4,K$3:K$36)-SUMPRODUCT(($D$3:$D$36&lt;&gt;$D4)*(K$3:K$36&gt;K4)),IF(($D4="s"),COUNTIFS($D$3:$D$36,"=S",K$3:K$36,"&gt;0"),COUNTIFS($D$3:$D$36,"=J",K$3:K$36,"&gt;0"))+PARTICIPANTS!$B$41),PARTICIPANTS!$B$39+PARTICIPANTS!$B$41 ),IF(PARTICIPANTS!$E3="P",IF((K4&gt;0),RANK(K4,K$3:K$27)-SUMPRODUCT(($D$3:$D$36&lt;&gt;$D4)*(K$3:K$36&gt;K4)),IF(($D4="s"),COUNTIFS($D$3:$D$36,"=S",K$3:K$27,"&gt;0"),COUNTIFS($D$3:$D$36,"=J",K$3:K$36,"&gt;0"))+PARTICIPANTS!$E$41),PARTICIPANTS!$E$39+PARTICIPANTS!$E$41 ))</f>
        <v>6</v>
      </c>
      <c r="K4" s="61">
        <f>(M4*200)+(N4*10)+L4</f>
        <v>2707</v>
      </c>
      <c r="L4" s="61">
        <f>'Aguado Nicolas'!$B$41</f>
        <v>1507</v>
      </c>
      <c r="M4" s="62">
        <f>COUNTIFS('Aguado Nicolas'!$A$3:$A$40,"=S")</f>
        <v>6</v>
      </c>
      <c r="N4" s="121">
        <f>COUNTIFS('Aguado Nicolas'!$A$3:$A$40,"=A")</f>
        <v>0</v>
      </c>
      <c r="O4" s="120">
        <f>VLOOKUP($C4,Rotations!$C$6:$G$37,3,FALSE)</f>
        <v>2</v>
      </c>
      <c r="P4" s="61">
        <f>IF(($D4="S"),IF(PARTICIPANTS!$E3="P",IF((Q4&gt;0),RANK(Q4,Q$3:Q$36)-SUMPRODUCT(($D$3:$D$36&lt;&gt;$D4)*(Q$3:Q$36&gt;Q4)),IF(($D4="s"),COUNTIFS($D$3:$D$36,"=S",Q$3:Q$36,"&gt;0"),COUNTIFS($D$3:$D$36,"=J",Q$3:Q$36,"&gt;0"))+PARTICIPANTS!$B$41),PARTICIPANTS!$B$39+PARTICIPANTS!$B$41 ),IF(PARTICIPANTS!$E3="P",IF((Q4&gt;0),RANK(Q4,Q$3:Q$36)-SUMPRODUCT(($D$3:$D$36&lt;&gt;$D4)*(Q$3:Q$36&gt;Q4)),IF(($D4="s"),COUNTIFS($D$3:$D$36,"=S",Q$3:Q$36,"&gt;0"),COUNTIFS($D$3:$D$36,"=J",Q$3:Q$36,"&gt;0"))+PARTICIPANTS!$E$41),PARTICIPANTS!$E$39+PARTICIPANTS!$E$41 ))</f>
        <v>5</v>
      </c>
      <c r="Q4" s="61">
        <f>(S4*200)+(T4*10)+R4</f>
        <v>2105</v>
      </c>
      <c r="R4" s="61">
        <f>'Aguado Nicolas'!$D$41</f>
        <v>1305</v>
      </c>
      <c r="S4" s="61">
        <f>COUNTIFS('Aguado Nicolas'!$C$3:$C$40,"=S")</f>
        <v>4</v>
      </c>
      <c r="T4" s="127">
        <f>COUNTIFS('Aguado Nicolas'!$C$3:$C$40,"=A")</f>
        <v>0</v>
      </c>
      <c r="U4" s="120">
        <f>VLOOKUP($C4,Rotations!$C$6:$G$37,4,FALSE)</f>
        <v>21</v>
      </c>
      <c r="V4" s="61">
        <f>IF(($D4="S"),IF(PARTICIPANTS!$E3="P",IF((W4&gt;0),RANK(W4,W$3:W$36)-SUMPRODUCT(($D$3:$D$36&lt;&gt;$D4)*(W$3:W$36&gt;W4)),IF(($D4="s"),COUNTIFS($D$3:$D$36,"=S",W$3:W$36,"&gt;0"),COUNTIFS($D$3:$D$36,"=J",W$3:W$36,"&gt;0"))+PARTICIPANTS!$B$41),PARTICIPANTS!$B$39+PARTICIPANTS!$B$41 ),IF(PARTICIPANTS!$E3="P",IF((W4&gt;0),RANK(W4,W$3:W$36)-SUMPRODUCT(($D$3:$D$36&lt;&gt;$D4)*(W$3:W$36&gt;W4)),IF(($D4="s"),COUNTIFS($D$3:$D$36,"=S",W$3:W$36,"&gt;0"),COUNTIFS($D$3:$D$36,"=J",W$3:W$36,"&gt;0"))+PARTICIPANTS!$E$41),PARTICIPANTS!$E$39+PARTICIPANTS!$E$41 ))</f>
        <v>41</v>
      </c>
      <c r="W4" s="61">
        <f>(Y4*200)+(Z4*20)+X4</f>
        <v>0</v>
      </c>
      <c r="X4" s="61">
        <f>'Aguado Nicolas'!$F$41</f>
        <v>0</v>
      </c>
      <c r="Y4" s="61">
        <f>COUNTIFS('Aguado Nicolas'!$E$3:$E$40,"=S")</f>
        <v>0</v>
      </c>
      <c r="Z4" s="127">
        <f>COUNTIFS('Aguado Nicolas'!$E$3:$E$40,"=A")</f>
        <v>0</v>
      </c>
      <c r="AA4" s="120">
        <f>VLOOKUP($C4,Rotations!$C$6:$G$37,5,FALSE)</f>
        <v>24</v>
      </c>
      <c r="AB4" s="61">
        <f>IF(($D4="S"),IF(PARTICIPANTS!$E3="P",IF((AC4&gt;0),RANK(AC4,AC$3:AC$36)-SUMPRODUCT(($D$3:$D$36&lt;&gt;$D4)*(AC$3:AC$36&gt;AC4)),IF(($D4="s"),COUNTIFS($D$3:$D$36,"=S",AC$3:AC$36,"&gt;0"),COUNTIFS($D$3:$D$36,"=J",AC$3:AC$36,"&gt;0"))+PARTICIPANTS!$B$41),PARTICIPANTS!$B$39+PARTICIPANTS!$B$41 ),IF(PARTICIPANTS!$E3="P",IF((AC4&gt;0),RANK(AC4,AC$3:AC$36)-SUMPRODUCT(($D$3:$D$36&lt;&gt;$D4)*(AC$3:AC$36&gt;AC4)),IF(($D4="s"),COUNTIFS($D$3:$D$36,"=S",AC$3:AC$36,"&gt;0"),COUNTIFS($D$3:$D$36,"=J",AC$3:AC$36,"&gt;0"))+PARTICIPANTS!$E$41),PARTICIPANTS!$E$39+PARTICIPANTS!$E$41 ))</f>
        <v>3</v>
      </c>
      <c r="AC4" s="61">
        <f>(AE4*200)+(AF4*20)+AD4</f>
        <v>2630</v>
      </c>
      <c r="AD4" s="61">
        <f>'Aguado Nicolas'!$H$41</f>
        <v>1630</v>
      </c>
      <c r="AE4" s="61">
        <f>COUNTIFS('Aguado Nicolas'!$G$3:$G$40,"=S")</f>
        <v>5</v>
      </c>
      <c r="AF4" s="127">
        <f>COUNTIFS('Aguado Nicolas'!$G$3:$G$40,"=A")</f>
        <v>0</v>
      </c>
    </row>
    <row r="5" spans="1:32" ht="13.5" thickBot="1" x14ac:dyDescent="0.25">
      <c r="A5" s="64">
        <f>RANK(E5,$E$3:$E$36,1)</f>
        <v>12</v>
      </c>
      <c r="B5" s="65">
        <v>3</v>
      </c>
      <c r="C5" s="66" t="str">
        <f>VLOOKUP($B5,PARTICIPANTS!$B$1:$E$35,2,FALSE)</f>
        <v>Bebelmans Ghislain</v>
      </c>
      <c r="D5" s="66" t="str">
        <f>VLOOKUP($B5,PARTICIPANTS!$B$1:$E$35,3,FALSE)</f>
        <v>S</v>
      </c>
      <c r="E5" s="84">
        <f>SUM(J5,P5,V5,AB5)+F5</f>
        <v>58</v>
      </c>
      <c r="F5" s="67">
        <v>0</v>
      </c>
      <c r="G5" s="67">
        <f>K5+Q5+W5+AC5</f>
        <v>5746</v>
      </c>
      <c r="H5" s="109">
        <f>M5+N5+S5+T5+Y5+Z5+AE5+AF5</f>
        <v>12</v>
      </c>
      <c r="I5" s="120">
        <f>VLOOKUP($C5,Rotations!$C$6:$G$37,2,FALSE)</f>
        <v>14</v>
      </c>
      <c r="J5" s="61">
        <f>IF(($D5="S"),IF(PARTICIPANTS!$E4="P",IF((K5&gt;0),RANK(K5,K$3:K$36)-SUMPRODUCT(($D$3:$D$36&lt;&gt;$D5)*(K$3:K$36&gt;K5)),IF(($D5="s"),COUNTIFS($D$3:$D$36,"=S",K$3:K$36,"&gt;0"),COUNTIFS($D$3:$D$36,"=J",K$3:K$36,"&gt;0"))+PARTICIPANTS!$B$41),PARTICIPANTS!$B$39+PARTICIPANTS!$B$41 ),IF(PARTICIPANTS!$E4="P",IF((K5&gt;0),RANK(K5,K$3:K$27)-SUMPRODUCT(($D$3:$D$36&lt;&gt;$D5)*(K$3:K$36&gt;K5)),IF(($D5="s"),COUNTIFS($D$3:$D$36,"=S",K$3:K$27,"&gt;0"),COUNTIFS($D$3:$D$36,"=J",K$3:K$36,"&gt;0"))+PARTICIPANTS!$E$41),PARTICIPANTS!$E$39+PARTICIPANTS!$E$41 ))</f>
        <v>17</v>
      </c>
      <c r="K5" s="61">
        <f>(M5*200)+(N5*10)+L5</f>
        <v>1100</v>
      </c>
      <c r="L5" s="61">
        <f>'Bebelmans Ghislain'!$B$41</f>
        <v>700</v>
      </c>
      <c r="M5" s="62">
        <f>COUNTIFS('Bebelmans Ghislain'!$A$3:$A$40,"=S")</f>
        <v>2</v>
      </c>
      <c r="N5" s="121">
        <f>COUNTIFS('Bebelmans Ghislain'!$A$3:$A$40,"=A")</f>
        <v>0</v>
      </c>
      <c r="O5" s="120">
        <f>VLOOKUP($C5,Rotations!$C$6:$G$37,3,FALSE)</f>
        <v>12</v>
      </c>
      <c r="P5" s="61">
        <f>IF(($D5="S"),IF(PARTICIPANTS!$E4="P",IF((Q5&gt;0),RANK(Q5,Q$3:Q$36)-SUMPRODUCT(($D$3:$D$36&lt;&gt;$D5)*(Q$3:Q$36&gt;Q5)),IF(($D5="s"),COUNTIFS($D$3:$D$36,"=S",Q$3:Q$36,"&gt;0"),COUNTIFS($D$3:$D$36,"=J",Q$3:Q$36,"&gt;0"))+PARTICIPANTS!$B$41),PARTICIPANTS!$B$39+PARTICIPANTS!$B$41 ),IF(PARTICIPANTS!$E4="P",IF((Q5&gt;0),RANK(Q5,Q$3:Q$36)-SUMPRODUCT(($D$3:$D$36&lt;&gt;$D5)*(Q$3:Q$36&gt;Q5)),IF(($D5="s"),COUNTIFS($D$3:$D$36,"=S",Q$3:Q$36,"&gt;0"),COUNTIFS($D$3:$D$36,"=J",Q$3:Q$36,"&gt;0"))+PARTICIPANTS!$E$41),PARTICIPANTS!$E$39+PARTICIPANTS!$E$41 ))</f>
        <v>8</v>
      </c>
      <c r="Q5" s="61">
        <f>(S5*200)+(T5*10)+R5</f>
        <v>1889</v>
      </c>
      <c r="R5" s="61">
        <f>'Bebelmans Ghislain'!$D$41</f>
        <v>1089</v>
      </c>
      <c r="S5" s="61">
        <f>COUNTIFS('Bebelmans Ghislain'!$C$3:$C$40,"=S")</f>
        <v>4</v>
      </c>
      <c r="T5" s="127">
        <f>COUNTIFS('Bebelmans Ghislain'!$C$3:$C$40,"=A")</f>
        <v>0</v>
      </c>
      <c r="U5" s="120">
        <f>VLOOKUP($C5,Rotations!$C$6:$G$37,4,FALSE)</f>
        <v>30</v>
      </c>
      <c r="V5" s="61">
        <f>IF(($D5="S"),IF(PARTICIPANTS!$E4="P",IF((W5&gt;0),RANK(W5,W$3:W$36)-SUMPRODUCT(($D$3:$D$36&lt;&gt;$D5)*(W$3:W$36&gt;W5)),IF(($D5="s"),COUNTIFS($D$3:$D$36,"=S",W$3:W$36,"&gt;0"),COUNTIFS($D$3:$D$36,"=J",W$3:W$36,"&gt;0"))+PARTICIPANTS!$B$41),PARTICIPANTS!$B$39+PARTICIPANTS!$B$41 ),IF(PARTICIPANTS!$E4="P",IF((W5&gt;0),RANK(W5,W$3:W$36)-SUMPRODUCT(($D$3:$D$36&lt;&gt;$D5)*(W$3:W$36&gt;W5)),IF(($D5="s"),COUNTIFS($D$3:$D$36,"=S",W$3:W$36,"&gt;0"),COUNTIFS($D$3:$D$36,"=J",W$3:W$36,"&gt;0"))+PARTICIPANTS!$E$41),PARTICIPANTS!$E$39+PARTICIPANTS!$E$41 ))</f>
        <v>28</v>
      </c>
      <c r="W5" s="61">
        <f>(Y5*200)+(Z5*20)+X5</f>
        <v>410</v>
      </c>
      <c r="X5" s="61">
        <f>'Bebelmans Ghislain'!$F$41</f>
        <v>210</v>
      </c>
      <c r="Y5" s="61">
        <f>COUNTIFS('Bebelmans Ghislain'!$E$3:$E$40,"=S")</f>
        <v>1</v>
      </c>
      <c r="Z5" s="127">
        <f>COUNTIFS('Bebelmans Ghislain'!$E$3:$E$40,"=A")</f>
        <v>0</v>
      </c>
      <c r="AA5" s="120">
        <f>VLOOKUP($C5,Rotations!$C$6:$G$37,5,FALSE)</f>
        <v>26</v>
      </c>
      <c r="AB5" s="61">
        <f>IF(($D5="S"),IF(PARTICIPANTS!$E4="P",IF((AC5&gt;0),RANK(AC5,AC$3:AC$36)-SUMPRODUCT(($D$3:$D$36&lt;&gt;$D5)*(AC$3:AC$36&gt;AC5)),IF(($D5="s"),COUNTIFS($D$3:$D$36,"=S",AC$3:AC$36,"&gt;0"),COUNTIFS($D$3:$D$36,"=J",AC$3:AC$36,"&gt;0"))+PARTICIPANTS!$B$41),PARTICIPANTS!$B$39+PARTICIPANTS!$B$41 ),IF(PARTICIPANTS!$E4="P",IF((AC5&gt;0),RANK(AC5,AC$3:AC$36)-SUMPRODUCT(($D$3:$D$36&lt;&gt;$D5)*(AC$3:AC$36&gt;AC5)),IF(($D5="s"),COUNTIFS($D$3:$D$36,"=S",AC$3:AC$36,"&gt;0"),COUNTIFS($D$3:$D$36,"=J",AC$3:AC$36,"&gt;0"))+PARTICIPANTS!$E$41),PARTICIPANTS!$E$39+PARTICIPANTS!$E$41 ))</f>
        <v>5</v>
      </c>
      <c r="AC5" s="61">
        <f>(AE5*200)+(AF5*20)+AD5</f>
        <v>2347</v>
      </c>
      <c r="AD5" s="61">
        <f>'Bebelmans Ghislain'!$H$41</f>
        <v>1347</v>
      </c>
      <c r="AE5" s="61">
        <f>COUNTIFS('Bebelmans Ghislain'!$G$3:$G$40,"=S")</f>
        <v>5</v>
      </c>
      <c r="AF5" s="127">
        <f>COUNTIFS('Bebelmans Ghislain'!$G$3:$G$40,"=A")</f>
        <v>0</v>
      </c>
    </row>
    <row r="6" spans="1:32" ht="13.5" thickBot="1" x14ac:dyDescent="0.25">
      <c r="A6" s="64">
        <f>RANK(E6,$E$3:$E$36,1)</f>
        <v>15</v>
      </c>
      <c r="B6" s="65">
        <v>4</v>
      </c>
      <c r="C6" s="66" t="str">
        <f>VLOOKUP($B6,PARTICIPANTS!$B$1:$E$35,2,FALSE)</f>
        <v>Bracco Ludovic</v>
      </c>
      <c r="D6" s="66" t="str">
        <f>VLOOKUP($B6,PARTICIPANTS!$B$1:$E$35,3,FALSE)</f>
        <v>S</v>
      </c>
      <c r="E6" s="84">
        <f>SUM(J6,P6,V6,AB6)+F6</f>
        <v>72</v>
      </c>
      <c r="F6" s="67">
        <v>0</v>
      </c>
      <c r="G6" s="67">
        <f>K6+Q6+W6+AC6</f>
        <v>3962</v>
      </c>
      <c r="H6" s="109">
        <f>M6+N6+S6+T6+Y6+Z6+AE6+AF6</f>
        <v>8</v>
      </c>
      <c r="I6" s="120">
        <f>VLOOKUP($C6,Rotations!$C$6:$G$37,2,FALSE)</f>
        <v>31</v>
      </c>
      <c r="J6" s="61">
        <f>IF(($D6="S"),IF(PARTICIPANTS!$E5="P",IF((K6&gt;0),RANK(K6,K$3:K$36)-SUMPRODUCT(($D$3:$D$36&lt;&gt;$D6)*(K$3:K$36&gt;K6)),IF(($D6="s"),COUNTIFS($D$3:$D$36,"=S",K$3:K$36,"&gt;0"),COUNTIFS($D$3:$D$36,"=J",K$3:K$36,"&gt;0"))+PARTICIPANTS!$B$41),PARTICIPANTS!$B$39+PARTICIPANTS!$B$41 ),IF(PARTICIPANTS!$E5="P",IF((K6&gt;0),RANK(K6,K$3:K$27)-SUMPRODUCT(($D$3:$D$36&lt;&gt;$D6)*(K$3:K$36&gt;K6)),IF(($D6="s"),COUNTIFS($D$3:$D$36,"=S",K$3:K$27,"&gt;0"),COUNTIFS($D$3:$D$36,"=J",K$3:K$36,"&gt;0"))+PARTICIPANTS!$E$41),PARTICIPANTS!$E$39+PARTICIPANTS!$E$41 ))</f>
        <v>19</v>
      </c>
      <c r="K6" s="61">
        <f>(M6*200)+(N6*10)+L6</f>
        <v>947</v>
      </c>
      <c r="L6" s="61">
        <f>'Bracco Ludovic'!$B$41</f>
        <v>547</v>
      </c>
      <c r="M6" s="62">
        <f>COUNTIFS('Bracco Ludovic'!$A$3:$A$40,"=S")</f>
        <v>2</v>
      </c>
      <c r="N6" s="121">
        <f>COUNTIFS('Bracco Ludovic'!$A$3:$A$40,"=A")</f>
        <v>0</v>
      </c>
      <c r="O6" s="120">
        <f>VLOOKUP($C6,Rotations!$C$6:$G$37,3,FALSE)</f>
        <v>27</v>
      </c>
      <c r="P6" s="61">
        <f>IF(($D6="S"),IF(PARTICIPANTS!$E5="P",IF((Q6&gt;0),RANK(Q6,Q$3:Q$36)-SUMPRODUCT(($D$3:$D$36&lt;&gt;$D6)*(Q$3:Q$36&gt;Q6)),IF(($D6="s"),COUNTIFS($D$3:$D$36,"=S",Q$3:Q$36,"&gt;0"),COUNTIFS($D$3:$D$36,"=J",Q$3:Q$36,"&gt;0"))+PARTICIPANTS!$B$41),PARTICIPANTS!$B$39+PARTICIPANTS!$B$41 ),IF(PARTICIPANTS!$E5="P",IF((Q6&gt;0),RANK(Q6,Q$3:Q$36)-SUMPRODUCT(($D$3:$D$36&lt;&gt;$D6)*(Q$3:Q$36&gt;Q6)),IF(($D6="s"),COUNTIFS($D$3:$D$36,"=S",Q$3:Q$36,"&gt;0"),COUNTIFS($D$3:$D$36,"=J",Q$3:Q$36,"&gt;0"))+PARTICIPANTS!$E$41),PARTICIPANTS!$E$39+PARTICIPANTS!$E$41 ))</f>
        <v>6</v>
      </c>
      <c r="Q6" s="61">
        <f>(S6*200)+(T6*10)+R6</f>
        <v>2012</v>
      </c>
      <c r="R6" s="61">
        <f>'Bracco Ludovic'!$D$41</f>
        <v>1212</v>
      </c>
      <c r="S6" s="61">
        <f>COUNTIFS('Bracco Ludovic'!$C$3:$C$40,"=S")</f>
        <v>4</v>
      </c>
      <c r="T6" s="127">
        <f>COUNTIFS('Bracco Ludovic'!$C$3:$C$40,"=A")</f>
        <v>0</v>
      </c>
      <c r="U6" s="120">
        <f>VLOOKUP($C6,Rotations!$C$6:$G$37,4,FALSE)</f>
        <v>15</v>
      </c>
      <c r="V6" s="61">
        <f>IF(($D6="S"),IF(PARTICIPANTS!$E5="P",IF((W6&gt;0),RANK(W6,W$3:W$36)-SUMPRODUCT(($D$3:$D$36&lt;&gt;$D6)*(W$3:W$36&gt;W6)),IF(($D6="s"),COUNTIFS($D$3:$D$36,"=S",W$3:W$36,"&gt;0"),COUNTIFS($D$3:$D$36,"=J",W$3:W$36,"&gt;0"))+PARTICIPANTS!$B$41),PARTICIPANTS!$B$39+PARTICIPANTS!$B$41 ),IF(PARTICIPANTS!$E5="P",IF((W6&gt;0),RANK(W6,W$3:W$36)-SUMPRODUCT(($D$3:$D$36&lt;&gt;$D6)*(W$3:W$36&gt;W6)),IF(($D6="s"),COUNTIFS($D$3:$D$36,"=S",W$3:W$36,"&gt;0"),COUNTIFS($D$3:$D$36,"=J",W$3:W$36,"&gt;0"))+PARTICIPANTS!$E$41),PARTICIPANTS!$E$39+PARTICIPANTS!$E$41 ))</f>
        <v>25</v>
      </c>
      <c r="W6" s="61">
        <f>(Y6*200)+(Z6*20)+X6</f>
        <v>536</v>
      </c>
      <c r="X6" s="61">
        <f>'Bracco Ludovic'!$F$41</f>
        <v>336</v>
      </c>
      <c r="Y6" s="61">
        <f>COUNTIFS('Bracco Ludovic'!$E$3:$E$40,"=S")</f>
        <v>1</v>
      </c>
      <c r="Z6" s="127">
        <f>COUNTIFS('Bracco Ludovic'!$E$3:$E$40,"=A")</f>
        <v>0</v>
      </c>
      <c r="AA6" s="120">
        <f>VLOOKUP($C6,Rotations!$C$6:$G$37,5,FALSE)</f>
        <v>17</v>
      </c>
      <c r="AB6" s="61">
        <f>IF(($D6="S"),IF(PARTICIPANTS!$E5="P",IF((AC6&gt;0),RANK(AC6,AC$3:AC$36)-SUMPRODUCT(($D$3:$D$36&lt;&gt;$D6)*(AC$3:AC$36&gt;AC6)),IF(($D6="s"),COUNTIFS($D$3:$D$36,"=S",AC$3:AC$36,"&gt;0"),COUNTIFS($D$3:$D$36,"=J",AC$3:AC$36,"&gt;0"))+PARTICIPANTS!$B$41),PARTICIPANTS!$B$39+PARTICIPANTS!$B$41 ),IF(PARTICIPANTS!$E5="P",IF((AC6&gt;0),RANK(AC6,AC$3:AC$36)-SUMPRODUCT(($D$3:$D$36&lt;&gt;$D6)*(AC$3:AC$36&gt;AC6)),IF(($D6="s"),COUNTIFS($D$3:$D$36,"=S",AC$3:AC$36,"&gt;0"),COUNTIFS($D$3:$D$36,"=J",AC$3:AC$36,"&gt;0"))+PARTICIPANTS!$E$41),PARTICIPANTS!$E$39+PARTICIPANTS!$E$41 ))</f>
        <v>22</v>
      </c>
      <c r="AC6" s="61">
        <f>(AE6*200)+(AF6*20)+AD6</f>
        <v>467</v>
      </c>
      <c r="AD6" s="61">
        <f>'Bracco Ludovic'!$H$41</f>
        <v>267</v>
      </c>
      <c r="AE6" s="61">
        <f>COUNTIFS('Bracco Ludovic'!$G$3:$G$40,"=S")</f>
        <v>1</v>
      </c>
      <c r="AF6" s="127">
        <f>COUNTIFS('Bracco Ludovic'!$G$3:$G$40,"=A")</f>
        <v>0</v>
      </c>
    </row>
    <row r="7" spans="1:32" ht="13.5" thickBot="1" x14ac:dyDescent="0.25">
      <c r="A7" s="64">
        <f>RANK(E7,$E$3:$E$36,1)</f>
        <v>11</v>
      </c>
      <c r="B7" s="65">
        <v>5</v>
      </c>
      <c r="C7" s="66" t="str">
        <f>VLOOKUP($B7,PARTICIPANTS!$B$1:$E$35,2,FALSE)</f>
        <v>Briquemont Mathias</v>
      </c>
      <c r="D7" s="66" t="str">
        <f>VLOOKUP($B7,PARTICIPANTS!$B$1:$E$35,3,FALSE)</f>
        <v>S</v>
      </c>
      <c r="E7" s="84">
        <f>SUM(J7,P7,V7,AB7)+F7</f>
        <v>56</v>
      </c>
      <c r="F7" s="67">
        <v>0</v>
      </c>
      <c r="G7" s="67">
        <f>K7+Q7+W7+AC7</f>
        <v>5987</v>
      </c>
      <c r="H7" s="109">
        <f>M7+N7+S7+T7+Y7+Z7+AE7+AF7</f>
        <v>13</v>
      </c>
      <c r="I7" s="120">
        <f>VLOOKUP($C7,Rotations!$C$6:$G$37,2,FALSE)</f>
        <v>2</v>
      </c>
      <c r="J7" s="61">
        <f>IF(($D7="S"),IF(PARTICIPANTS!$E6="P",IF((K7&gt;0),RANK(K7,K$3:K$36)-SUMPRODUCT(($D$3:$D$36&lt;&gt;$D7)*(K$3:K$36&gt;K7)),IF(($D7="s"),COUNTIFS($D$3:$D$36,"=S",K$3:K$36,"&gt;0"),COUNTIFS($D$3:$D$36,"=J",K$3:K$36,"&gt;0"))+PARTICIPANTS!$B$41),PARTICIPANTS!$B$39+PARTICIPANTS!$B$41 ),IF(PARTICIPANTS!$E6="P",IF((K7&gt;0),RANK(K7,K$3:K$27)-SUMPRODUCT(($D$3:$D$36&lt;&gt;$D7)*(K$3:K$36&gt;K7)),IF(($D7="s"),COUNTIFS($D$3:$D$36,"=S",K$3:K$27,"&gt;0"),COUNTIFS($D$3:$D$36,"=J",K$3:K$36,"&gt;0"))+PARTICIPANTS!$E$41),PARTICIPANTS!$E$39+PARTICIPANTS!$E$41 ))</f>
        <v>21</v>
      </c>
      <c r="K7" s="61">
        <f>(M7*200)+(N7*10)+L7</f>
        <v>601</v>
      </c>
      <c r="L7" s="61">
        <f>'Briquemont Mathias'!$B$41</f>
        <v>401</v>
      </c>
      <c r="M7" s="62">
        <f>COUNTIFS('Briquemont Mathias'!$A$3:$A$40,"=S")</f>
        <v>1</v>
      </c>
      <c r="N7" s="121">
        <f>COUNTIFS('Briquemont Mathias'!$A$3:$A$40,"=A")</f>
        <v>0</v>
      </c>
      <c r="O7" s="120">
        <f>VLOOKUP($C7,Rotations!$C$6:$G$37,3,FALSE)</f>
        <v>5</v>
      </c>
      <c r="P7" s="61">
        <f>IF(($D7="S"),IF(PARTICIPANTS!$E6="P",IF((Q7&gt;0),RANK(Q7,Q$3:Q$36)-SUMPRODUCT(($D$3:$D$36&lt;&gt;$D7)*(Q$3:Q$36&gt;Q7)),IF(($D7="s"),COUNTIFS($D$3:$D$36,"=S",Q$3:Q$36,"&gt;0"),COUNTIFS($D$3:$D$36,"=J",Q$3:Q$36,"&gt;0"))+PARTICIPANTS!$B$41),PARTICIPANTS!$B$39+PARTICIPANTS!$B$41 ),IF(PARTICIPANTS!$E6="P",IF((Q7&gt;0),RANK(Q7,Q$3:Q$36)-SUMPRODUCT(($D$3:$D$36&lt;&gt;$D7)*(Q$3:Q$36&gt;Q7)),IF(($D7="s"),COUNTIFS($D$3:$D$36,"=S",Q$3:Q$36,"&gt;0"),COUNTIFS($D$3:$D$36,"=J",Q$3:Q$36,"&gt;0"))+PARTICIPANTS!$E$41),PARTICIPANTS!$E$39+PARTICIPANTS!$E$41 ))</f>
        <v>14</v>
      </c>
      <c r="Q7" s="61">
        <f>(S7*200)+(T7*10)+R7</f>
        <v>1386</v>
      </c>
      <c r="R7" s="61">
        <f>'Briquemont Mathias'!$D$41</f>
        <v>786</v>
      </c>
      <c r="S7" s="61">
        <f>COUNTIFS('Briquemont Mathias'!$C$3:$C$40,"=S")</f>
        <v>3</v>
      </c>
      <c r="T7" s="127">
        <f>COUNTIFS('Briquemont Mathias'!$C$3:$C$40,"=A")</f>
        <v>0</v>
      </c>
      <c r="U7" s="120">
        <f>VLOOKUP($C7,Rotations!$C$6:$G$37,4,FALSE)</f>
        <v>18</v>
      </c>
      <c r="V7" s="61">
        <f>IF(($D7="S"),IF(PARTICIPANTS!$E6="P",IF((W7&gt;0),RANK(W7,W$3:W$36)-SUMPRODUCT(($D$3:$D$36&lt;&gt;$D7)*(W$3:W$36&gt;W7)),IF(($D7="s"),COUNTIFS($D$3:$D$36,"=S",W$3:W$36,"&gt;0"),COUNTIFS($D$3:$D$36,"=J",W$3:W$36,"&gt;0"))+PARTICIPANTS!$B$41),PARTICIPANTS!$B$39+PARTICIPANTS!$B$41 ),IF(PARTICIPANTS!$E6="P",IF((W7&gt;0),RANK(W7,W$3:W$36)-SUMPRODUCT(($D$3:$D$36&lt;&gt;$D7)*(W$3:W$36&gt;W7)),IF(($D7="s"),COUNTIFS($D$3:$D$36,"=S",W$3:W$36,"&gt;0"),COUNTIFS($D$3:$D$36,"=J",W$3:W$36,"&gt;0"))+PARTICIPANTS!$E$41),PARTICIPANTS!$E$39+PARTICIPANTS!$E$41 ))</f>
        <v>9</v>
      </c>
      <c r="W7" s="61">
        <f>(Y7*200)+(Z7*20)+X7</f>
        <v>2283</v>
      </c>
      <c r="X7" s="61">
        <f>'Briquemont Mathias'!$F$41</f>
        <v>1283</v>
      </c>
      <c r="Y7" s="61">
        <f>COUNTIFS('Briquemont Mathias'!$E$3:$E$40,"=S")</f>
        <v>5</v>
      </c>
      <c r="Z7" s="127">
        <f>COUNTIFS('Briquemont Mathias'!$E$3:$E$40,"=A")</f>
        <v>0</v>
      </c>
      <c r="AA7" s="120">
        <f>VLOOKUP($C7,Rotations!$C$6:$G$37,5,FALSE)</f>
        <v>16</v>
      </c>
      <c r="AB7" s="61">
        <f>IF(($D7="S"),IF(PARTICIPANTS!$E6="P",IF((AC7&gt;0),RANK(AC7,AC$3:AC$36)-SUMPRODUCT(($D$3:$D$36&lt;&gt;$D7)*(AC$3:AC$36&gt;AC7)),IF(($D7="s"),COUNTIFS($D$3:$D$36,"=S",AC$3:AC$36,"&gt;0"),COUNTIFS($D$3:$D$36,"=J",AC$3:AC$36,"&gt;0"))+PARTICIPANTS!$B$41),PARTICIPANTS!$B$39+PARTICIPANTS!$B$41 ),IF(PARTICIPANTS!$E6="P",IF((AC7&gt;0),RANK(AC7,AC$3:AC$36)-SUMPRODUCT(($D$3:$D$36&lt;&gt;$D7)*(AC$3:AC$36&gt;AC7)),IF(($D7="s"),COUNTIFS($D$3:$D$36,"=S",AC$3:AC$36,"&gt;0"),COUNTIFS($D$3:$D$36,"=J",AC$3:AC$36,"&gt;0"))+PARTICIPANTS!$E$41),PARTICIPANTS!$E$39+PARTICIPANTS!$E$41 ))</f>
        <v>12</v>
      </c>
      <c r="AC7" s="61">
        <f>(AE7*200)+(AF7*20)+AD7</f>
        <v>1717</v>
      </c>
      <c r="AD7" s="61">
        <f>'Briquemont Mathias'!$H$41</f>
        <v>917</v>
      </c>
      <c r="AE7" s="61">
        <f>COUNTIFS('Briquemont Mathias'!$G$3:$G$40,"=S")</f>
        <v>4</v>
      </c>
      <c r="AF7" s="127">
        <f>COUNTIFS('Briquemont Mathias'!$G$3:$G$40,"=A")</f>
        <v>0</v>
      </c>
    </row>
    <row r="8" spans="1:32" ht="13.5" thickBot="1" x14ac:dyDescent="0.25">
      <c r="A8" s="64">
        <f>RANK(E8,$E$3:$E$36,1)</f>
        <v>21</v>
      </c>
      <c r="B8" s="65">
        <v>6</v>
      </c>
      <c r="C8" s="66" t="str">
        <f>VLOOKUP($B8,PARTICIPANTS!$B$1:$E$35,2,FALSE)</f>
        <v>Bruninx Jean-Luc</v>
      </c>
      <c r="D8" s="66" t="str">
        <f>VLOOKUP($B8,PARTICIPANTS!$B$1:$E$35,3,FALSE)</f>
        <v>S</v>
      </c>
      <c r="E8" s="84">
        <f>SUM(J8,P8,V8,AB8)+F8</f>
        <v>85</v>
      </c>
      <c r="F8" s="67">
        <v>0</v>
      </c>
      <c r="G8" s="67">
        <f>K8+Q8+W8+AC8</f>
        <v>4101</v>
      </c>
      <c r="H8" s="109">
        <f>M8+N8+S8+T8+Y8+Z8+AE8+AF8</f>
        <v>9</v>
      </c>
      <c r="I8" s="120">
        <f>VLOOKUP($C8,Rotations!$C$6:$G$37,2,FALSE)</f>
        <v>9</v>
      </c>
      <c r="J8" s="61">
        <f>IF(($D8="S"),IF(PARTICIPANTS!$E7="P",IF((K8&gt;0),RANK(K8,K$3:K$36)-SUMPRODUCT(($D$3:$D$36&lt;&gt;$D8)*(K$3:K$36&gt;K8)),IF(($D8="s"),COUNTIFS($D$3:$D$36,"=S",K$3:K$36,"&gt;0"),COUNTIFS($D$3:$D$36,"=J",K$3:K$36,"&gt;0"))+PARTICIPANTS!$B$41),PARTICIPANTS!$B$39+PARTICIPANTS!$B$41 ),IF(PARTICIPANTS!$E7="P",IF((K8&gt;0),RANK(K8,K$3:K$27)-SUMPRODUCT(($D$3:$D$36&lt;&gt;$D8)*(K$3:K$36&gt;K8)),IF(($D8="s"),COUNTIFS($D$3:$D$36,"=S",K$3:K$27,"&gt;0"),COUNTIFS($D$3:$D$36,"=J",K$3:K$36,"&gt;0"))+PARTICIPANTS!$E$41),PARTICIPANTS!$E$39+PARTICIPANTS!$E$41 ))</f>
        <v>10</v>
      </c>
      <c r="K8" s="61">
        <f>(M8*200)+(N8*10)+L8</f>
        <v>2354</v>
      </c>
      <c r="L8" s="61">
        <f>'Bruninx Jean-Luc'!$B$41</f>
        <v>1354</v>
      </c>
      <c r="M8" s="62">
        <f>COUNTIFS('Bruninx Jean-Luc'!$A$3:$A$40,"=S")</f>
        <v>5</v>
      </c>
      <c r="N8" s="121">
        <f>COUNTIFS('Bruninx Jean-Luc'!$A$3:$A$40,"=A")</f>
        <v>0</v>
      </c>
      <c r="O8" s="120">
        <f>VLOOKUP($C8,Rotations!$C$6:$G$37,3,FALSE)</f>
        <v>7</v>
      </c>
      <c r="P8" s="61">
        <f>IF(($D8="S"),IF(PARTICIPANTS!$E7="P",IF((Q8&gt;0),RANK(Q8,Q$3:Q$36)-SUMPRODUCT(($D$3:$D$36&lt;&gt;$D8)*(Q$3:Q$36&gt;Q8)),IF(($D8="s"),COUNTIFS($D$3:$D$36,"=S",Q$3:Q$36,"&gt;0"),COUNTIFS($D$3:$D$36,"=J",Q$3:Q$36,"&gt;0"))+PARTICIPANTS!$B$41),PARTICIPANTS!$B$39+PARTICIPANTS!$B$41 ),IF(PARTICIPANTS!$E7="P",IF((Q8&gt;0),RANK(Q8,Q$3:Q$36)-SUMPRODUCT(($D$3:$D$36&lt;&gt;$D8)*(Q$3:Q$36&gt;Q8)),IF(($D8="s"),COUNTIFS($D$3:$D$36,"=S",Q$3:Q$36,"&gt;0"),COUNTIFS($D$3:$D$36,"=J",Q$3:Q$36,"&gt;0"))+PARTICIPANTS!$E$41),PARTICIPANTS!$E$39+PARTICIPANTS!$E$41 ))</f>
        <v>20</v>
      </c>
      <c r="Q8" s="61">
        <f>(S8*200)+(T8*10)+R8</f>
        <v>932</v>
      </c>
      <c r="R8" s="61">
        <f>'Bruninx Jean-Luc'!$D$41</f>
        <v>532</v>
      </c>
      <c r="S8" s="61">
        <f>COUNTIFS('Bruninx Jean-Luc'!$C$3:$C$40,"=S")</f>
        <v>2</v>
      </c>
      <c r="T8" s="127">
        <f>COUNTIFS('Bruninx Jean-Luc'!$C$3:$C$40,"=A")</f>
        <v>0</v>
      </c>
      <c r="U8" s="120">
        <f>VLOOKUP($C8,Rotations!$C$6:$G$37,4,FALSE)</f>
        <v>25</v>
      </c>
      <c r="V8" s="61">
        <f>IF(($D8="S"),IF(PARTICIPANTS!$E7="P",IF((W8&gt;0),RANK(W8,W$3:W$36)-SUMPRODUCT(($D$3:$D$36&lt;&gt;$D8)*(W$3:W$36&gt;W8)),IF(($D8="s"),COUNTIFS($D$3:$D$36,"=S",W$3:W$36,"&gt;0"),COUNTIFS($D$3:$D$36,"=J",W$3:W$36,"&gt;0"))+PARTICIPANTS!$B$41),PARTICIPANTS!$B$39+PARTICIPANTS!$B$41 ),IF(PARTICIPANTS!$E7="P",IF((W8&gt;0),RANK(W8,W$3:W$36)-SUMPRODUCT(($D$3:$D$36&lt;&gt;$D8)*(W$3:W$36&gt;W8)),IF(($D8="s"),COUNTIFS($D$3:$D$36,"=S",W$3:W$36,"&gt;0"),COUNTIFS($D$3:$D$36,"=J",W$3:W$36,"&gt;0"))+PARTICIPANTS!$E$41),PARTICIPANTS!$E$39+PARTICIPANTS!$E$41 ))</f>
        <v>29</v>
      </c>
      <c r="W8" s="61">
        <f>(Y8*200)+(Z8*20)+X8</f>
        <v>400</v>
      </c>
      <c r="X8" s="61">
        <f>'Bruninx Jean-Luc'!$F$41</f>
        <v>200</v>
      </c>
      <c r="Y8" s="61">
        <f>COUNTIFS('Bruninx Jean-Luc'!$E$3:$E$40,"=S")</f>
        <v>1</v>
      </c>
      <c r="Z8" s="127">
        <f>COUNTIFS('Bruninx Jean-Luc'!$E$3:$E$40,"=A")</f>
        <v>0</v>
      </c>
      <c r="AA8" s="120">
        <f>VLOOKUP($C8,Rotations!$C$6:$G$37,5,FALSE)</f>
        <v>29</v>
      </c>
      <c r="AB8" s="61">
        <f>IF(($D8="S"),IF(PARTICIPANTS!$E7="P",IF((AC8&gt;0),RANK(AC8,AC$3:AC$36)-SUMPRODUCT(($D$3:$D$36&lt;&gt;$D8)*(AC$3:AC$36&gt;AC8)),IF(($D8="s"),COUNTIFS($D$3:$D$36,"=S",AC$3:AC$36,"&gt;0"),COUNTIFS($D$3:$D$36,"=J",AC$3:AC$36,"&gt;0"))+PARTICIPANTS!$B$41),PARTICIPANTS!$B$39+PARTICIPANTS!$B$41 ),IF(PARTICIPANTS!$E7="P",IF((AC8&gt;0),RANK(AC8,AC$3:AC$36)-SUMPRODUCT(($D$3:$D$36&lt;&gt;$D8)*(AC$3:AC$36&gt;AC8)),IF(($D8="s"),COUNTIFS($D$3:$D$36,"=S",AC$3:AC$36,"&gt;0"),COUNTIFS($D$3:$D$36,"=J",AC$3:AC$36,"&gt;0"))+PARTICIPANTS!$E$41),PARTICIPANTS!$E$39+PARTICIPANTS!$E$41 ))</f>
        <v>26</v>
      </c>
      <c r="AC8" s="61">
        <f>(AE8*200)+(AF8*20)+AD8</f>
        <v>415</v>
      </c>
      <c r="AD8" s="61">
        <f>'Bruninx Jean-Luc'!$H$41</f>
        <v>215</v>
      </c>
      <c r="AE8" s="61">
        <f>COUNTIFS('Bruninx Jean-Luc'!$G$3:$G$40,"=S")</f>
        <v>1</v>
      </c>
      <c r="AF8" s="127">
        <f>COUNTIFS('Bruninx Jean-Luc'!$G$3:$G$40,"=A")</f>
        <v>0</v>
      </c>
    </row>
    <row r="9" spans="1:32" ht="13.5" thickBot="1" x14ac:dyDescent="0.25">
      <c r="A9" s="64">
        <f>RANK(E9,$E$3:$E$36,1)</f>
        <v>23</v>
      </c>
      <c r="B9" s="65">
        <v>7</v>
      </c>
      <c r="C9" s="66" t="str">
        <f>VLOOKUP($B9,PARTICIPANTS!$B$1:$E$35,2,FALSE)</f>
        <v>Coquette Arthur</v>
      </c>
      <c r="D9" s="66" t="str">
        <f>VLOOKUP($B9,PARTICIPANTS!$B$1:$E$35,3,FALSE)</f>
        <v>S</v>
      </c>
      <c r="E9" s="84">
        <f>SUM(J9,P9,V9,AB9)+F9</f>
        <v>86</v>
      </c>
      <c r="F9" s="67">
        <v>0</v>
      </c>
      <c r="G9" s="67">
        <f>K9+Q9+W9+AC9</f>
        <v>4279</v>
      </c>
      <c r="H9" s="109">
        <f>M9+N9+S9+T9+Y9+Z9+AE9+AF9</f>
        <v>9</v>
      </c>
      <c r="I9" s="120">
        <f>VLOOKUP($C9,Rotations!$C$6:$G$37,2,FALSE)</f>
        <v>8</v>
      </c>
      <c r="J9" s="61">
        <f>IF(($D9="S"),IF(PARTICIPANTS!$E8="P",IF((K9&gt;0),RANK(K9,K$3:K$36)-SUMPRODUCT(($D$3:$D$36&lt;&gt;$D9)*(K$3:K$36&gt;K9)),IF(($D9="s"),COUNTIFS($D$3:$D$36,"=S",K$3:K$36,"&gt;0"),COUNTIFS($D$3:$D$36,"=J",K$3:K$36,"&gt;0"))+PARTICIPANTS!$B$41),PARTICIPANTS!$B$39+PARTICIPANTS!$B$41 ),IF(PARTICIPANTS!$E8="P",IF((K9&gt;0),RANK(K9,K$3:K$27)-SUMPRODUCT(($D$3:$D$36&lt;&gt;$D9)*(K$3:K$36&gt;K9)),IF(($D9="s"),COUNTIFS($D$3:$D$36,"=S",K$3:K$27,"&gt;0"),COUNTIFS($D$3:$D$36,"=J",K$3:K$36,"&gt;0"))+PARTICIPANTS!$E$41),PARTICIPANTS!$E$39+PARTICIPANTS!$E$41 ))</f>
        <v>20</v>
      </c>
      <c r="K9" s="61">
        <f>(M9*200)+(N9*10)+L9</f>
        <v>937</v>
      </c>
      <c r="L9" s="61">
        <f>'Coquette Arthur'!$B$41</f>
        <v>537</v>
      </c>
      <c r="M9" s="62">
        <f>COUNTIFS('Coquette Arthur'!$A$3:$A$40,"=S")</f>
        <v>2</v>
      </c>
      <c r="N9" s="121">
        <f>COUNTIFS('Coquette Arthur'!$A$3:$A$40,"=A")</f>
        <v>0</v>
      </c>
      <c r="O9" s="120">
        <f>VLOOKUP($C9,Rotations!$C$6:$G$37,3,FALSE)</f>
        <v>10</v>
      </c>
      <c r="P9" s="61">
        <f>IF(($D9="S"),IF(PARTICIPANTS!$E8="P",IF((Q9&gt;0),RANK(Q9,Q$3:Q$36)-SUMPRODUCT(($D$3:$D$36&lt;&gt;$D9)*(Q$3:Q$36&gt;Q9)),IF(($D9="s"),COUNTIFS($D$3:$D$36,"=S",Q$3:Q$36,"&gt;0"),COUNTIFS($D$3:$D$36,"=J",Q$3:Q$36,"&gt;0"))+PARTICIPANTS!$B$41),PARTICIPANTS!$B$39+PARTICIPANTS!$B$41 ),IF(PARTICIPANTS!$E8="P",IF((Q9&gt;0),RANK(Q9,Q$3:Q$36)-SUMPRODUCT(($D$3:$D$36&lt;&gt;$D9)*(Q$3:Q$36&gt;Q9)),IF(($D9="s"),COUNTIFS($D$3:$D$36,"=S",Q$3:Q$36,"&gt;0"),COUNTIFS($D$3:$D$36,"=J",Q$3:Q$36,"&gt;0"))+PARTICIPANTS!$E$41),PARTICIPANTS!$E$39+PARTICIPANTS!$E$41 ))</f>
        <v>19</v>
      </c>
      <c r="Q9" s="61">
        <f>(S9*200)+(T9*10)+R9</f>
        <v>952</v>
      </c>
      <c r="R9" s="61">
        <f>'Coquette Arthur'!$D$41</f>
        <v>552</v>
      </c>
      <c r="S9" s="61">
        <f>COUNTIFS('Coquette Arthur'!$C$3:$C$40,"=S")</f>
        <v>2</v>
      </c>
      <c r="T9" s="127">
        <f>COUNTIFS('Coquette Arthur'!$C$3:$C$40,"=A")</f>
        <v>0</v>
      </c>
      <c r="U9" s="120">
        <f>VLOOKUP($C9,Rotations!$C$6:$G$37,4,FALSE)</f>
        <v>24</v>
      </c>
      <c r="V9" s="61">
        <f>IF(($D9="S"),IF(PARTICIPANTS!$E8="P",IF((W9&gt;0),RANK(W9,W$3:W$36)-SUMPRODUCT(($D$3:$D$36&lt;&gt;$D9)*(W$3:W$36&gt;W9)),IF(($D9="s"),COUNTIFS($D$3:$D$36,"=S",W$3:W$36,"&gt;0"),COUNTIFS($D$3:$D$36,"=J",W$3:W$36,"&gt;0"))+PARTICIPANTS!$B$41),PARTICIPANTS!$B$39+PARTICIPANTS!$B$41 ),IF(PARTICIPANTS!$E8="P",IF((W9&gt;0),RANK(W9,W$3:W$36)-SUMPRODUCT(($D$3:$D$36&lt;&gt;$D9)*(W$3:W$36&gt;W9)),IF(($D9="s"),COUNTIFS($D$3:$D$36,"=S",W$3:W$36,"&gt;0"),COUNTIFS($D$3:$D$36,"=J",W$3:W$36,"&gt;0"))+PARTICIPANTS!$E$41),PARTICIPANTS!$E$39+PARTICIPANTS!$E$41 ))</f>
        <v>7</v>
      </c>
      <c r="W9" s="61">
        <f>(Y9*200)+(Z9*20)+X9</f>
        <v>2390</v>
      </c>
      <c r="X9" s="61">
        <f>'Coquette Arthur'!$F$41</f>
        <v>1390</v>
      </c>
      <c r="Y9" s="61">
        <f>COUNTIFS('Coquette Arthur'!$E$3:$E$40,"=S")</f>
        <v>5</v>
      </c>
      <c r="Z9" s="127">
        <f>COUNTIFS('Coquette Arthur'!$E$3:$E$40,"=A")</f>
        <v>0</v>
      </c>
      <c r="AA9" s="120">
        <f>VLOOKUP($C9,Rotations!$C$6:$G$37,5,FALSE)</f>
        <v>21</v>
      </c>
      <c r="AB9" s="61">
        <f>IF(($D9="S"),IF(PARTICIPANTS!$E8="P",IF((AC9&gt;0),RANK(AC9,AC$3:AC$36)-SUMPRODUCT(($D$3:$D$36&lt;&gt;$D9)*(AC$3:AC$36&gt;AC9)),IF(($D9="s"),COUNTIFS($D$3:$D$36,"=S",AC$3:AC$36,"&gt;0"),COUNTIFS($D$3:$D$36,"=J",AC$3:AC$36,"&gt;0"))+PARTICIPANTS!$B$41),PARTICIPANTS!$B$39+PARTICIPANTS!$B$41 ),IF(PARTICIPANTS!$E8="P",IF((AC9&gt;0),RANK(AC9,AC$3:AC$36)-SUMPRODUCT(($D$3:$D$36&lt;&gt;$D9)*(AC$3:AC$36&gt;AC9)),IF(($D9="s"),COUNTIFS($D$3:$D$36,"=S",AC$3:AC$36,"&gt;0"),COUNTIFS($D$3:$D$36,"=J",AC$3:AC$36,"&gt;0"))+PARTICIPANTS!$E$41),PARTICIPANTS!$E$39+PARTICIPANTS!$E$41 ))</f>
        <v>40</v>
      </c>
      <c r="AC9" s="61">
        <f>(AE9*200)+(AF9*20)+AD9</f>
        <v>0</v>
      </c>
      <c r="AD9" s="61">
        <f>'Coquette Arthur'!$H$41</f>
        <v>0</v>
      </c>
      <c r="AE9" s="61">
        <f>COUNTIFS('Coquette Arthur'!$G$3:$G$40,"=S")</f>
        <v>0</v>
      </c>
      <c r="AF9" s="127">
        <f>COUNTIFS('Coquette Arthur'!$G$3:$G$40,"=A")</f>
        <v>0</v>
      </c>
    </row>
    <row r="10" spans="1:32" ht="13.5" thickBot="1" x14ac:dyDescent="0.25">
      <c r="A10" s="64">
        <f>RANK(E10,$E$3:$E$36,1)</f>
        <v>27</v>
      </c>
      <c r="B10" s="65">
        <v>8</v>
      </c>
      <c r="C10" s="66" t="str">
        <f>VLOOKUP($B10,PARTICIPANTS!$B$1:$E$35,2,FALSE)</f>
        <v>Cougnet  Ludovic</v>
      </c>
      <c r="D10" s="66" t="str">
        <f>VLOOKUP($B10,PARTICIPANTS!$B$1:$E$35,3,FALSE)</f>
        <v>S</v>
      </c>
      <c r="E10" s="84">
        <f>SUM(J10,P10,V10,AB10)+F10</f>
        <v>97</v>
      </c>
      <c r="F10" s="67">
        <v>0</v>
      </c>
      <c r="G10" s="67">
        <f>K10+Q10+W10+AC10</f>
        <v>2410</v>
      </c>
      <c r="H10" s="109">
        <f>M10+N10+S10+T10+Y10+Z10+AE10+AF10</f>
        <v>5</v>
      </c>
      <c r="I10" s="120">
        <f>VLOOKUP($C10,Rotations!$C$6:$G$37,2,FALSE)</f>
        <v>24</v>
      </c>
      <c r="J10" s="61">
        <f>IF(($D10="S"),IF(PARTICIPANTS!$E9="P",IF((K10&gt;0),RANK(K10,K$3:K$36)-SUMPRODUCT(($D$3:$D$36&lt;&gt;$D10)*(K$3:K$36&gt;K10)),IF(($D10="s"),COUNTIFS($D$3:$D$36,"=S",K$3:K$36,"&gt;0"),COUNTIFS($D$3:$D$36,"=J",K$3:K$36,"&gt;0"))+PARTICIPANTS!$B$41),PARTICIPANTS!$B$39+PARTICIPANTS!$B$41 ),IF(PARTICIPANTS!$E9="P",IF((K10&gt;0),RANK(K10,K$3:K$27)-SUMPRODUCT(($D$3:$D$36&lt;&gt;$D10)*(K$3:K$36&gt;K10)),IF(($D10="s"),COUNTIFS($D$3:$D$36,"=S",K$3:K$27,"&gt;0"),COUNTIFS($D$3:$D$36,"=J",K$3:K$36,"&gt;0"))+PARTICIPANTS!$E$41),PARTICIPANTS!$E$39+PARTICIPANTS!$E$41 ))</f>
        <v>18</v>
      </c>
      <c r="K10" s="61">
        <f>(M10*200)+(N10*10)+L10</f>
        <v>995</v>
      </c>
      <c r="L10" s="61">
        <f>'Cougnet  Ludovic'!$B$41</f>
        <v>595</v>
      </c>
      <c r="M10" s="62">
        <f>COUNTIFS('Cougnet  Ludovic'!$A$3:$A$40,"=S")</f>
        <v>2</v>
      </c>
      <c r="N10" s="121">
        <f>COUNTIFS('Cougnet  Ludovic'!$A$3:$A$40,"=A")</f>
        <v>0</v>
      </c>
      <c r="O10" s="120">
        <f>VLOOKUP($C10,Rotations!$C$6:$G$37,3,FALSE)</f>
        <v>21</v>
      </c>
      <c r="P10" s="61">
        <f>IF(($D10="S"),IF(PARTICIPANTS!$E9="P",IF((Q10&gt;0),RANK(Q10,Q$3:Q$36)-SUMPRODUCT(($D$3:$D$36&lt;&gt;$D10)*(Q$3:Q$36&gt;Q10)),IF(($D10="s"),COUNTIFS($D$3:$D$36,"=S",Q$3:Q$36,"&gt;0"),COUNTIFS($D$3:$D$36,"=J",Q$3:Q$36,"&gt;0"))+PARTICIPANTS!$B$41),PARTICIPANTS!$B$39+PARTICIPANTS!$B$41 ),IF(PARTICIPANTS!$E9="P",IF((Q10&gt;0),RANK(Q10,Q$3:Q$36)-SUMPRODUCT(($D$3:$D$36&lt;&gt;$D10)*(Q$3:Q$36&gt;Q10)),IF(($D10="s"),COUNTIFS($D$3:$D$36,"=S",Q$3:Q$36,"&gt;0"),COUNTIFS($D$3:$D$36,"=J",Q$3:Q$36,"&gt;0"))+PARTICIPANTS!$E$41),PARTICIPANTS!$E$39+PARTICIPANTS!$E$41 ))</f>
        <v>38</v>
      </c>
      <c r="Q10" s="61">
        <f>(S10*200)+(T10*10)+R10</f>
        <v>0</v>
      </c>
      <c r="R10" s="61">
        <f>'Cougnet  Ludovic'!$D$41</f>
        <v>0</v>
      </c>
      <c r="S10" s="61">
        <f>COUNTIFS('Cougnet  Ludovic'!$C$3:$C$40,"=S")</f>
        <v>0</v>
      </c>
      <c r="T10" s="127">
        <f>COUNTIFS('Cougnet  Ludovic'!$C$3:$C$40,"=A")</f>
        <v>0</v>
      </c>
      <c r="U10" s="120">
        <f>VLOOKUP($C10,Rotations!$C$6:$G$37,4,FALSE)</f>
        <v>8</v>
      </c>
      <c r="V10" s="61">
        <f>IF(($D10="S"),IF(PARTICIPANTS!$E9="P",IF((W10&gt;0),RANK(W10,W$3:W$36)-SUMPRODUCT(($D$3:$D$36&lt;&gt;$D10)*(W$3:W$36&gt;W10)),IF(($D10="s"),COUNTIFS($D$3:$D$36,"=S",W$3:W$36,"&gt;0"),COUNTIFS($D$3:$D$36,"=J",W$3:W$36,"&gt;0"))+PARTICIPANTS!$B$41),PARTICIPANTS!$B$39+PARTICIPANTS!$B$41 ),IF(PARTICIPANTS!$E9="P",IF((W10&gt;0),RANK(W10,W$3:W$36)-SUMPRODUCT(($D$3:$D$36&lt;&gt;$D10)*(W$3:W$36&gt;W10)),IF(($D10="s"),COUNTIFS($D$3:$D$36,"=S",W$3:W$36,"&gt;0"),COUNTIFS($D$3:$D$36,"=J",W$3:W$36,"&gt;0"))+PARTICIPANTS!$E$41),PARTICIPANTS!$E$39+PARTICIPANTS!$E$41 ))</f>
        <v>21</v>
      </c>
      <c r="W10" s="61">
        <f>(Y10*200)+(Z10*20)+X10</f>
        <v>893</v>
      </c>
      <c r="X10" s="61">
        <f>'Cougnet  Ludovic'!$F$41</f>
        <v>493</v>
      </c>
      <c r="Y10" s="61">
        <f>COUNTIFS('Cougnet  Ludovic'!$E$3:$E$40,"=S")</f>
        <v>2</v>
      </c>
      <c r="Z10" s="127">
        <f>COUNTIFS('Cougnet  Ludovic'!$E$3:$E$40,"=A")</f>
        <v>0</v>
      </c>
      <c r="AA10" s="120">
        <f>VLOOKUP($C10,Rotations!$C$6:$G$37,5,FALSE)</f>
        <v>10</v>
      </c>
      <c r="AB10" s="61">
        <f>IF(($D10="S"),IF(PARTICIPANTS!$E9="P",IF((AC10&gt;0),RANK(AC10,AC$3:AC$36)-SUMPRODUCT(($D$3:$D$36&lt;&gt;$D10)*(AC$3:AC$36&gt;AC10)),IF(($D10="s"),COUNTIFS($D$3:$D$36,"=S",AC$3:AC$36,"&gt;0"),COUNTIFS($D$3:$D$36,"=J",AC$3:AC$36,"&gt;0"))+PARTICIPANTS!$B$41),PARTICIPANTS!$B$39+PARTICIPANTS!$B$41 ),IF(PARTICIPANTS!$E9="P",IF((AC10&gt;0),RANK(AC10,AC$3:AC$36)-SUMPRODUCT(($D$3:$D$36&lt;&gt;$D10)*(AC$3:AC$36&gt;AC10)),IF(($D10="s"),COUNTIFS($D$3:$D$36,"=S",AC$3:AC$36,"&gt;0"),COUNTIFS($D$3:$D$36,"=J",AC$3:AC$36,"&gt;0"))+PARTICIPANTS!$E$41),PARTICIPANTS!$E$39+PARTICIPANTS!$E$41 ))</f>
        <v>20</v>
      </c>
      <c r="AC10" s="61">
        <f>(AE10*200)+(AF10*20)+AD10</f>
        <v>522</v>
      </c>
      <c r="AD10" s="61">
        <f>'Cougnet  Ludovic'!$H$41</f>
        <v>322</v>
      </c>
      <c r="AE10" s="61">
        <f>COUNTIFS('Cougnet  Ludovic'!$G$3:$G$40,"=S")</f>
        <v>1</v>
      </c>
      <c r="AF10" s="127">
        <f>COUNTIFS('Cougnet  Ludovic'!$G$3:$G$40,"=A")</f>
        <v>0</v>
      </c>
    </row>
    <row r="11" spans="1:32" s="63" customFormat="1" ht="13.5" thickBot="1" x14ac:dyDescent="0.25">
      <c r="A11" s="64">
        <f>RANK(E11,$E$3:$E$36,1)</f>
        <v>29</v>
      </c>
      <c r="B11" s="65">
        <v>9</v>
      </c>
      <c r="C11" s="66" t="str">
        <f>VLOOKUP($B11,PARTICIPANTS!$B$1:$E$35,2,FALSE)</f>
        <v>Curvers Maxime</v>
      </c>
      <c r="D11" s="66" t="str">
        <f>VLOOKUP($B11,PARTICIPANTS!$B$1:$E$35,3,FALSE)</f>
        <v>S</v>
      </c>
      <c r="E11" s="84">
        <f>SUM(J11,P11,V11,AB11)+F11</f>
        <v>104</v>
      </c>
      <c r="F11" s="67">
        <v>0</v>
      </c>
      <c r="G11" s="67">
        <f>K11+Q11+W11+AC11</f>
        <v>2029</v>
      </c>
      <c r="H11" s="109">
        <f>M11+N11+S11+T11+Y11+Z11+AE11+AF11</f>
        <v>4</v>
      </c>
      <c r="I11" s="120">
        <f>VLOOKUP($C11,Rotations!$C$6:$G$37,2,FALSE)</f>
        <v>23</v>
      </c>
      <c r="J11" s="61">
        <f>IF(($D11="S"),IF(PARTICIPANTS!$E10="P",IF((K11&gt;0),RANK(K11,K$3:K$36)-SUMPRODUCT(($D$3:$D$36&lt;&gt;$D11)*(K$3:K$36&gt;K11)),IF(($D11="s"),COUNTIFS($D$3:$D$36,"=S",K$3:K$36,"&gt;0"),COUNTIFS($D$3:$D$36,"=J",K$3:K$36,"&gt;0"))+PARTICIPANTS!$B$41),PARTICIPANTS!$B$39+PARTICIPANTS!$B$41 ),IF(PARTICIPANTS!$E10="P",IF((K11&gt;0),RANK(K11,K$3:K$27)-SUMPRODUCT(($D$3:$D$36&lt;&gt;$D11)*(K$3:K$36&gt;K11)),IF(($D11="s"),COUNTIFS($D$3:$D$36,"=S",K$3:K$27,"&gt;0"),COUNTIFS($D$3:$D$36,"=J",K$3:K$36,"&gt;0"))+PARTICIPANTS!$E$41),PARTICIPANTS!$E$39+PARTICIPANTS!$E$41 ))</f>
        <v>39</v>
      </c>
      <c r="K11" s="61">
        <f>(M11*200)+(N11*10)+L11</f>
        <v>0</v>
      </c>
      <c r="L11" s="61">
        <f>'Curvers Maxime'!$B$41</f>
        <v>0</v>
      </c>
      <c r="M11" s="62">
        <f>COUNTIFS('Curvers Maxime'!$A$3:$A$40,"=S")</f>
        <v>0</v>
      </c>
      <c r="N11" s="121">
        <f>COUNTIFS('Curvers Maxime'!$A$3:$A$40,"=A")</f>
        <v>0</v>
      </c>
      <c r="O11" s="120">
        <f>VLOOKUP($C11,Rotations!$C$6:$G$37,3,FALSE)</f>
        <v>20</v>
      </c>
      <c r="P11" s="61">
        <f>IF(($D11="S"),IF(PARTICIPANTS!$E10="P",IF((Q11&gt;0),RANK(Q11,Q$3:Q$36)-SUMPRODUCT(($D$3:$D$36&lt;&gt;$D11)*(Q$3:Q$36&gt;Q11)),IF(($D11="s"),COUNTIFS($D$3:$D$36,"=S",Q$3:Q$36,"&gt;0"),COUNTIFS($D$3:$D$36,"=J",Q$3:Q$36,"&gt;0"))+PARTICIPANTS!$B$41),PARTICIPANTS!$B$39+PARTICIPANTS!$B$41 ),IF(PARTICIPANTS!$E10="P",IF((Q11&gt;0),RANK(Q11,Q$3:Q$36)-SUMPRODUCT(($D$3:$D$36&lt;&gt;$D11)*(Q$3:Q$36&gt;Q11)),IF(($D11="s"),COUNTIFS($D$3:$D$36,"=S",Q$3:Q$36,"&gt;0"),COUNTIFS($D$3:$D$36,"=J",Q$3:Q$36,"&gt;0"))+PARTICIPANTS!$E$41),PARTICIPANTS!$E$39+PARTICIPANTS!$E$41 ))</f>
        <v>24</v>
      </c>
      <c r="Q11" s="61">
        <f>(S11*200)+(T11*10)+R11</f>
        <v>460</v>
      </c>
      <c r="R11" s="61">
        <f>'Curvers Maxime'!$D$41</f>
        <v>260</v>
      </c>
      <c r="S11" s="61">
        <f>COUNTIFS('Curvers Maxime'!$C$3:$C$40,"=S")</f>
        <v>1</v>
      </c>
      <c r="T11" s="127">
        <f>COUNTIFS('Curvers Maxime'!$C$3:$C$40,"=A")</f>
        <v>0</v>
      </c>
      <c r="U11" s="120">
        <f>VLOOKUP($C11,Rotations!$C$6:$G$37,4,FALSE)</f>
        <v>7</v>
      </c>
      <c r="V11" s="61">
        <f>IF(($D11="S"),IF(PARTICIPANTS!$E10="P",IF((W11&gt;0),RANK(W11,W$3:W$36)-SUMPRODUCT(($D$3:$D$36&lt;&gt;$D11)*(W$3:W$36&gt;W11)),IF(($D11="s"),COUNTIFS($D$3:$D$36,"=S",W$3:W$36,"&gt;0"),COUNTIFS($D$3:$D$36,"=J",W$3:W$36,"&gt;0"))+PARTICIPANTS!$B$41),PARTICIPANTS!$B$39+PARTICIPANTS!$B$41 ),IF(PARTICIPANTS!$E10="P",IF((W11&gt;0),RANK(W11,W$3:W$36)-SUMPRODUCT(($D$3:$D$36&lt;&gt;$D11)*(W$3:W$36&gt;W11)),IF(($D11="s"),COUNTIFS($D$3:$D$36,"=S",W$3:W$36,"&gt;0"),COUNTIFS($D$3:$D$36,"=J",W$3:W$36,"&gt;0"))+PARTICIPANTS!$E$41),PARTICIPANTS!$E$39+PARTICIPANTS!$E$41 ))</f>
        <v>24</v>
      </c>
      <c r="W11" s="61">
        <f>(Y11*200)+(Z11*20)+X11</f>
        <v>589</v>
      </c>
      <c r="X11" s="61">
        <f>'Curvers Maxime'!$F$41</f>
        <v>389</v>
      </c>
      <c r="Y11" s="61">
        <f>COUNTIFS('Curvers Maxime'!$E$3:$E$40,"=S")</f>
        <v>1</v>
      </c>
      <c r="Z11" s="127">
        <f>COUNTIFS('Curvers Maxime'!$E$3:$E$40,"=A")</f>
        <v>0</v>
      </c>
      <c r="AA11" s="120">
        <f>VLOOKUP($C11,Rotations!$C$6:$G$37,5,FALSE)</f>
        <v>9</v>
      </c>
      <c r="AB11" s="61">
        <f>IF(($D11="S"),IF(PARTICIPANTS!$E10="P",IF((AC11&gt;0),RANK(AC11,AC$3:AC$36)-SUMPRODUCT(($D$3:$D$36&lt;&gt;$D11)*(AC$3:AC$36&gt;AC11)),IF(($D11="s"),COUNTIFS($D$3:$D$36,"=S",AC$3:AC$36,"&gt;0"),COUNTIFS($D$3:$D$36,"=J",AC$3:AC$36,"&gt;0"))+PARTICIPANTS!$B$41),PARTICIPANTS!$B$39+PARTICIPANTS!$B$41 ),IF(PARTICIPANTS!$E10="P",IF((AC11&gt;0),RANK(AC11,AC$3:AC$36)-SUMPRODUCT(($D$3:$D$36&lt;&gt;$D11)*(AC$3:AC$36&gt;AC11)),IF(($D11="s"),COUNTIFS($D$3:$D$36,"=S",AC$3:AC$36,"&gt;0"),COUNTIFS($D$3:$D$36,"=J",AC$3:AC$36,"&gt;0"))+PARTICIPANTS!$E$41),PARTICIPANTS!$E$39+PARTICIPANTS!$E$41 ))</f>
        <v>17</v>
      </c>
      <c r="AC11" s="61">
        <f>(AE11*200)+(AF11*20)+AD11</f>
        <v>980</v>
      </c>
      <c r="AD11" s="61">
        <f>'Curvers Maxime'!$H$41</f>
        <v>580</v>
      </c>
      <c r="AE11" s="61">
        <f>COUNTIFS('Curvers Maxime'!$G$3:$G$40,"=S")</f>
        <v>2</v>
      </c>
      <c r="AF11" s="127">
        <f>COUNTIFS('Curvers Maxime'!$G$3:$G$40,"=A")</f>
        <v>0</v>
      </c>
    </row>
    <row r="12" spans="1:32" s="63" customFormat="1" ht="13.5" thickBot="1" x14ac:dyDescent="0.25">
      <c r="A12" s="64">
        <f>RANK(E12,$E$3:$E$36,1)</f>
        <v>21</v>
      </c>
      <c r="B12" s="65">
        <v>10</v>
      </c>
      <c r="C12" s="66" t="str">
        <f>VLOOKUP($B12,PARTICIPANTS!$B$1:$E$35,2,FALSE)</f>
        <v>DelFrari Romano</v>
      </c>
      <c r="D12" s="66" t="str">
        <f>VLOOKUP($B12,PARTICIPANTS!$B$1:$E$35,3,FALSE)</f>
        <v>S</v>
      </c>
      <c r="E12" s="84">
        <f>SUM(J12,P12,V12,AB12)+F12</f>
        <v>85</v>
      </c>
      <c r="F12" s="67">
        <v>0</v>
      </c>
      <c r="G12" s="67">
        <f>K12+Q12+W12+AC12</f>
        <v>4495</v>
      </c>
      <c r="H12" s="109">
        <f>M12+N12+S12+T12+Y12+Z12+AE12+AF12</f>
        <v>9</v>
      </c>
      <c r="I12" s="120">
        <f>VLOOKUP($C12,Rotations!$C$6:$G$37,2,FALSE)</f>
        <v>3</v>
      </c>
      <c r="J12" s="61">
        <f>IF(($D12="S"),IF(PARTICIPANTS!$E11="P",IF((K12&gt;0),RANK(K12,K$3:K$36)-SUMPRODUCT(($D$3:$D$36&lt;&gt;$D12)*(K$3:K$36&gt;K12)),IF(($D12="s"),COUNTIFS($D$3:$D$36,"=S",K$3:K$36,"&gt;0"),COUNTIFS($D$3:$D$36,"=J",K$3:K$36,"&gt;0"))+PARTICIPANTS!$B$41),PARTICIPANTS!$B$39+PARTICIPANTS!$B$41 ),IF(PARTICIPANTS!$E11="P",IF((K12&gt;0),RANK(K12,K$3:K$27)-SUMPRODUCT(($D$3:$D$36&lt;&gt;$D12)*(K$3:K$36&gt;K12)),IF(($D12="s"),COUNTIFS($D$3:$D$36,"=S",K$3:K$27,"&gt;0"),COUNTIFS($D$3:$D$36,"=J",K$3:K$36,"&gt;0"))+PARTICIPANTS!$E$41),PARTICIPANTS!$E$39+PARTICIPANTS!$E$41 ))</f>
        <v>3</v>
      </c>
      <c r="K12" s="61">
        <f>(M12*200)+(N12*10)+L12</f>
        <v>3114</v>
      </c>
      <c r="L12" s="61">
        <f>'DelFrari Romano'!$B$41</f>
        <v>1914</v>
      </c>
      <c r="M12" s="62">
        <f>COUNTIFS('DelFrari Romano'!$A$3:$A$40,"=S")</f>
        <v>6</v>
      </c>
      <c r="N12" s="121">
        <f>COUNTIFS('DelFrari Romano'!$A$3:$A$40,"=A")</f>
        <v>0</v>
      </c>
      <c r="O12" s="120">
        <f>VLOOKUP($C12,Rotations!$C$6:$G$37,3,FALSE)</f>
        <v>6</v>
      </c>
      <c r="P12" s="61">
        <f>IF(($D12="S"),IF(PARTICIPANTS!$E11="P",IF((Q12&gt;0),RANK(Q12,Q$3:Q$36)-SUMPRODUCT(($D$3:$D$36&lt;&gt;$D12)*(Q$3:Q$36&gt;Q12)),IF(($D12="s"),COUNTIFS($D$3:$D$36,"=S",Q$3:Q$36,"&gt;0"),COUNTIFS($D$3:$D$36,"=J",Q$3:Q$36,"&gt;0"))+PARTICIPANTS!$B$41),PARTICIPANTS!$B$39+PARTICIPANTS!$B$41 ),IF(PARTICIPANTS!$E11="P",IF((Q12&gt;0),RANK(Q12,Q$3:Q$36)-SUMPRODUCT(($D$3:$D$36&lt;&gt;$D12)*(Q$3:Q$36&gt;Q12)),IF(($D12="s"),COUNTIFS($D$3:$D$36,"=S",Q$3:Q$36,"&gt;0"),COUNTIFS($D$3:$D$36,"=J",Q$3:Q$36,"&gt;0"))+PARTICIPANTS!$E$41),PARTICIPANTS!$E$39+PARTICIPANTS!$E$41 ))</f>
        <v>38</v>
      </c>
      <c r="Q12" s="61">
        <f>(S12*200)+(T12*10)+R12</f>
        <v>0</v>
      </c>
      <c r="R12" s="61">
        <f>'DelFrari Romano'!$D$41</f>
        <v>0</v>
      </c>
      <c r="S12" s="61">
        <f>COUNTIFS('DelFrari Romano'!$C$3:$C$40,"=S")</f>
        <v>0</v>
      </c>
      <c r="T12" s="127">
        <f>COUNTIFS('DelFrari Romano'!$C$3:$C$40,"=A")</f>
        <v>0</v>
      </c>
      <c r="U12" s="120">
        <f>VLOOKUP($C12,Rotations!$C$6:$G$37,4,FALSE)</f>
        <v>19</v>
      </c>
      <c r="V12" s="61">
        <f>IF(($D12="S"),IF(PARTICIPANTS!$E11="P",IF((W12&gt;0),RANK(W12,W$3:W$36)-SUMPRODUCT(($D$3:$D$36&lt;&gt;$D12)*(W$3:W$36&gt;W12)),IF(($D12="s"),COUNTIFS($D$3:$D$36,"=S",W$3:W$36,"&gt;0"),COUNTIFS($D$3:$D$36,"=J",W$3:W$36,"&gt;0"))+PARTICIPANTS!$B$41),PARTICIPANTS!$B$39+PARTICIPANTS!$B$41 ),IF(PARTICIPANTS!$E11="P",IF((W12&gt;0),RANK(W12,W$3:W$36)-SUMPRODUCT(($D$3:$D$36&lt;&gt;$D12)*(W$3:W$36&gt;W12)),IF(($D12="s"),COUNTIFS($D$3:$D$36,"=S",W$3:W$36,"&gt;0"),COUNTIFS($D$3:$D$36,"=J",W$3:W$36,"&gt;0"))+PARTICIPANTS!$E$41),PARTICIPANTS!$E$39+PARTICIPANTS!$E$41 ))</f>
        <v>23</v>
      </c>
      <c r="W12" s="61">
        <f>(Y12*200)+(Z12*20)+X12</f>
        <v>874</v>
      </c>
      <c r="X12" s="61">
        <f>'DelFrari Romano'!$F$41</f>
        <v>474</v>
      </c>
      <c r="Y12" s="61">
        <f>COUNTIFS('DelFrari Romano'!$E$3:$E$40,"=S")</f>
        <v>2</v>
      </c>
      <c r="Z12" s="127">
        <f>COUNTIFS('DelFrari Romano'!$E$3:$E$40,"=A")</f>
        <v>0</v>
      </c>
      <c r="AA12" s="120">
        <f>VLOOKUP($C12,Rotations!$C$6:$G$37,5,FALSE)</f>
        <v>22</v>
      </c>
      <c r="AB12" s="61">
        <f>IF(($D12="S"),IF(PARTICIPANTS!$E11="P",IF((AC12&gt;0),RANK(AC12,AC$3:AC$36)-SUMPRODUCT(($D$3:$D$36&lt;&gt;$D12)*(AC$3:AC$36&gt;AC12)),IF(($D12="s"),COUNTIFS($D$3:$D$36,"=S",AC$3:AC$36,"&gt;0"),COUNTIFS($D$3:$D$36,"=J",AC$3:AC$36,"&gt;0"))+PARTICIPANTS!$B$41),PARTICIPANTS!$B$39+PARTICIPANTS!$B$41 ),IF(PARTICIPANTS!$E11="P",IF((AC12&gt;0),RANK(AC12,AC$3:AC$36)-SUMPRODUCT(($D$3:$D$36&lt;&gt;$D12)*(AC$3:AC$36&gt;AC12)),IF(($D12="s"),COUNTIFS($D$3:$D$36,"=S",AC$3:AC$36,"&gt;0"),COUNTIFS($D$3:$D$36,"=J",AC$3:AC$36,"&gt;0"))+PARTICIPANTS!$E$41),PARTICIPANTS!$E$39+PARTICIPANTS!$E$41 ))</f>
        <v>21</v>
      </c>
      <c r="AC12" s="61">
        <f>(AE12*200)+(AF12*20)+AD12</f>
        <v>507</v>
      </c>
      <c r="AD12" s="61">
        <f>'DelFrari Romano'!$H$41</f>
        <v>307</v>
      </c>
      <c r="AE12" s="61">
        <f>COUNTIFS('DelFrari Romano'!$G$3:$G$40,"=S")</f>
        <v>1</v>
      </c>
      <c r="AF12" s="127">
        <f>COUNTIFS('DelFrari Romano'!$G$3:$G$40,"=A")</f>
        <v>0</v>
      </c>
    </row>
    <row r="13" spans="1:32" s="63" customFormat="1" ht="13.5" thickBot="1" x14ac:dyDescent="0.25">
      <c r="A13" s="64">
        <f>RANK(E13,$E$3:$E$36,1)</f>
        <v>3</v>
      </c>
      <c r="B13" s="65">
        <v>11</v>
      </c>
      <c r="C13" s="66" t="str">
        <f>VLOOKUP($B13,PARTICIPANTS!$B$1:$E$35,2,FALSE)</f>
        <v>Delhasse Jacques</v>
      </c>
      <c r="D13" s="66" t="str">
        <f>VLOOKUP($B13,PARTICIPANTS!$B$1:$E$35,3,FALSE)</f>
        <v>S</v>
      </c>
      <c r="E13" s="84">
        <f>SUM(J13,P13,V13,AB13)+F13</f>
        <v>21</v>
      </c>
      <c r="F13" s="67">
        <v>0</v>
      </c>
      <c r="G13" s="67">
        <f>K13+Q13+W13+AC13</f>
        <v>11855</v>
      </c>
      <c r="H13" s="109">
        <f>M13+N13+S13+T13+Y13+Z13+AE13+AF13</f>
        <v>24</v>
      </c>
      <c r="I13" s="120">
        <f>VLOOKUP($C13,Rotations!$C$6:$G$37,2,FALSE)</f>
        <v>12</v>
      </c>
      <c r="J13" s="61">
        <f>IF(($D13="S"),IF(PARTICIPANTS!$E12="P",IF((K13&gt;0),RANK(K13,K$3:K$36)-SUMPRODUCT(($D$3:$D$36&lt;&gt;$D13)*(K$3:K$36&gt;K13)),IF(($D13="s"),COUNTIFS($D$3:$D$36,"=S",K$3:K$36,"&gt;0"),COUNTIFS($D$3:$D$36,"=J",K$3:K$36,"&gt;0"))+PARTICIPANTS!$B$41),PARTICIPANTS!$B$39+PARTICIPANTS!$B$41 ),IF(PARTICIPANTS!$E12="P",IF((K13&gt;0),RANK(K13,K$3:K$27)-SUMPRODUCT(($D$3:$D$36&lt;&gt;$D13)*(K$3:K$36&gt;K13)),IF(($D13="s"),COUNTIFS($D$3:$D$36,"=S",K$3:K$27,"&gt;0"),COUNTIFS($D$3:$D$36,"=J",K$3:K$36,"&gt;0"))+PARTICIPANTS!$E$41),PARTICIPANTS!$E$39+PARTICIPANTS!$E$41 ))</f>
        <v>8</v>
      </c>
      <c r="K13" s="61">
        <f>(M13*200)+(N13*10)+L13</f>
        <v>2487</v>
      </c>
      <c r="L13" s="61">
        <f>'Delhasse Jacques'!$B$41</f>
        <v>1487</v>
      </c>
      <c r="M13" s="62">
        <f>COUNTIFS('Delhasse Jacques'!$A$3:$A$40,"=S")</f>
        <v>5</v>
      </c>
      <c r="N13" s="121">
        <f>COUNTIFS('Delhasse Jacques'!$A$3:$A$40,"=A")</f>
        <v>0</v>
      </c>
      <c r="O13" s="120">
        <f>VLOOKUP($C13,Rotations!$C$6:$G$37,3,FALSE)</f>
        <v>14</v>
      </c>
      <c r="P13" s="61">
        <f>IF(($D13="S"),IF(PARTICIPANTS!$E12="P",IF((Q13&gt;0),RANK(Q13,Q$3:Q$36)-SUMPRODUCT(($D$3:$D$36&lt;&gt;$D13)*(Q$3:Q$36&gt;Q13)),IF(($D13="s"),COUNTIFS($D$3:$D$36,"=S",Q$3:Q$36,"&gt;0"),COUNTIFS($D$3:$D$36,"=J",Q$3:Q$36,"&gt;0"))+PARTICIPANTS!$B$41),PARTICIPANTS!$B$39+PARTICIPANTS!$B$41 ),IF(PARTICIPANTS!$E12="P",IF((Q13&gt;0),RANK(Q13,Q$3:Q$36)-SUMPRODUCT(($D$3:$D$36&lt;&gt;$D13)*(Q$3:Q$36&gt;Q13)),IF(($D13="s"),COUNTIFS($D$3:$D$36,"=S",Q$3:Q$36,"&gt;0"),COUNTIFS($D$3:$D$36,"=J",Q$3:Q$36,"&gt;0"))+PARTICIPANTS!$E$41),PARTICIPANTS!$E$39+PARTICIPANTS!$E$41 ))</f>
        <v>3</v>
      </c>
      <c r="Q13" s="61">
        <f>(S13*200)+(T13*10)+R13</f>
        <v>4031</v>
      </c>
      <c r="R13" s="61">
        <f>'Delhasse Jacques'!$D$41</f>
        <v>2431</v>
      </c>
      <c r="S13" s="61">
        <f>COUNTIFS('Delhasse Jacques'!$C$3:$C$40,"=S")</f>
        <v>8</v>
      </c>
      <c r="T13" s="127">
        <f>COUNTIFS('Delhasse Jacques'!$C$3:$C$40,"=A")</f>
        <v>0</v>
      </c>
      <c r="U13" s="120">
        <f>VLOOKUP($C13,Rotations!$C$6:$G$37,4,FALSE)</f>
        <v>28</v>
      </c>
      <c r="V13" s="61">
        <f>IF(($D13="S"),IF(PARTICIPANTS!$E12="P",IF((W13&gt;0),RANK(W13,W$3:W$36)-SUMPRODUCT(($D$3:$D$36&lt;&gt;$D13)*(W$3:W$36&gt;W13)),IF(($D13="s"),COUNTIFS($D$3:$D$36,"=S",W$3:W$36,"&gt;0"),COUNTIFS($D$3:$D$36,"=J",W$3:W$36,"&gt;0"))+PARTICIPANTS!$B$41),PARTICIPANTS!$B$39+PARTICIPANTS!$B$41 ),IF(PARTICIPANTS!$E12="P",IF((W13&gt;0),RANK(W13,W$3:W$36)-SUMPRODUCT(($D$3:$D$36&lt;&gt;$D13)*(W$3:W$36&gt;W13)),IF(($D13="s"),COUNTIFS($D$3:$D$36,"=S",W$3:W$36,"&gt;0"),COUNTIFS($D$3:$D$36,"=J",W$3:W$36,"&gt;0"))+PARTICIPANTS!$E$41),PARTICIPANTS!$E$39+PARTICIPANTS!$E$41 ))</f>
        <v>6</v>
      </c>
      <c r="W13" s="61">
        <f>(Y13*200)+(Z13*20)+X13</f>
        <v>2869</v>
      </c>
      <c r="X13" s="61">
        <f>'Delhasse Jacques'!$F$41</f>
        <v>1669</v>
      </c>
      <c r="Y13" s="61">
        <f>COUNTIFS('Delhasse Jacques'!$E$3:$E$40,"=S")</f>
        <v>6</v>
      </c>
      <c r="Z13" s="127">
        <f>COUNTIFS('Delhasse Jacques'!$E$3:$E$40,"=A")</f>
        <v>0</v>
      </c>
      <c r="AA13" s="120">
        <f>VLOOKUP($C13,Rotations!$C$6:$G$37,5,FALSE)</f>
        <v>32</v>
      </c>
      <c r="AB13" s="61">
        <f>IF(($D13="S"),IF(PARTICIPANTS!$E12="P",IF((AC13&gt;0),RANK(AC13,AC$3:AC$36)-SUMPRODUCT(($D$3:$D$36&lt;&gt;$D13)*(AC$3:AC$36&gt;AC13)),IF(($D13="s"),COUNTIFS($D$3:$D$36,"=S",AC$3:AC$36,"&gt;0"),COUNTIFS($D$3:$D$36,"=J",AC$3:AC$36,"&gt;0"))+PARTICIPANTS!$B$41),PARTICIPANTS!$B$39+PARTICIPANTS!$B$41 ),IF(PARTICIPANTS!$E12="P",IF((AC13&gt;0),RANK(AC13,AC$3:AC$36)-SUMPRODUCT(($D$3:$D$36&lt;&gt;$D13)*(AC$3:AC$36&gt;AC13)),IF(($D13="s"),COUNTIFS($D$3:$D$36,"=S",AC$3:AC$36,"&gt;0"),COUNTIFS($D$3:$D$36,"=J",AC$3:AC$36,"&gt;0"))+PARTICIPANTS!$E$41),PARTICIPANTS!$E$39+PARTICIPANTS!$E$41 ))</f>
        <v>4</v>
      </c>
      <c r="AC13" s="61">
        <f>(AE13*200)+(AF13*20)+AD13</f>
        <v>2468</v>
      </c>
      <c r="AD13" s="61">
        <f>'Delhasse Jacques'!$H$41</f>
        <v>1468</v>
      </c>
      <c r="AE13" s="61">
        <f>COUNTIFS('Delhasse Jacques'!$G$3:$G$40,"=S")</f>
        <v>5</v>
      </c>
      <c r="AF13" s="127">
        <f>COUNTIFS('Delhasse Jacques'!$G$3:$G$40,"=A")</f>
        <v>0</v>
      </c>
    </row>
    <row r="14" spans="1:32" s="63" customFormat="1" ht="13.5" thickBot="1" x14ac:dyDescent="0.25">
      <c r="A14" s="64">
        <f>RANK(E14,$E$3:$E$36,1)</f>
        <v>2</v>
      </c>
      <c r="B14" s="65">
        <v>12</v>
      </c>
      <c r="C14" s="66" t="str">
        <f>VLOOKUP($B14,PARTICIPANTS!$B$1:$E$35,2,FALSE)</f>
        <v>Dequinze Benoit</v>
      </c>
      <c r="D14" s="66" t="str">
        <f>VLOOKUP($B14,PARTICIPANTS!$B$1:$E$35,3,FALSE)</f>
        <v>S</v>
      </c>
      <c r="E14" s="84">
        <f>SUM(J14,P14,V14,AB14)+F14</f>
        <v>17</v>
      </c>
      <c r="F14" s="67">
        <v>0</v>
      </c>
      <c r="G14" s="67">
        <f>K14+Q14+W14+AC14</f>
        <v>11619</v>
      </c>
      <c r="H14" s="109">
        <f>M14+N14+S14+T14+Y14+Z14+AE14+AF14</f>
        <v>26</v>
      </c>
      <c r="I14" s="120">
        <f>VLOOKUP($C14,Rotations!$C$6:$G$37,2,FALSE)</f>
        <v>19</v>
      </c>
      <c r="J14" s="61">
        <f>IF(($D14="S"),IF(PARTICIPANTS!$E13="P",IF((K14&gt;0),RANK(K14,K$3:K$36)-SUMPRODUCT(($D$3:$D$36&lt;&gt;$D14)*(K$3:K$36&gt;K14)),IF(($D14="s"),COUNTIFS($D$3:$D$36,"=S",K$3:K$36,"&gt;0"),COUNTIFS($D$3:$D$36,"=J",K$3:K$36,"&gt;0"))+PARTICIPANTS!$B$41),PARTICIPANTS!$B$39+PARTICIPANTS!$B$41 ),IF(PARTICIPANTS!$E13="P",IF((K14&gt;0),RANK(K14,K$3:K$27)-SUMPRODUCT(($D$3:$D$36&lt;&gt;$D14)*(K$3:K$36&gt;K14)),IF(($D14="s"),COUNTIFS($D$3:$D$36,"=S",K$3:K$27,"&gt;0"),COUNTIFS($D$3:$D$36,"=J",K$3:K$36,"&gt;0"))+PARTICIPANTS!$E$41),PARTICIPANTS!$E$39+PARTICIPANTS!$E$41 ))</f>
        <v>4</v>
      </c>
      <c r="K14" s="61">
        <f>(M14*200)+(N14*10)+L14</f>
        <v>2974</v>
      </c>
      <c r="L14" s="61">
        <f>'Dequinze Benoit'!$B$41</f>
        <v>1774</v>
      </c>
      <c r="M14" s="62">
        <f>COUNTIFS('Dequinze Benoit'!$A$3:$A$40,"=S")</f>
        <v>6</v>
      </c>
      <c r="N14" s="121">
        <f>COUNTIFS('Dequinze Benoit'!$A$3:$A$40,"=A")</f>
        <v>0</v>
      </c>
      <c r="O14" s="120">
        <f>VLOOKUP($C14,Rotations!$C$6:$G$37,3,FALSE)</f>
        <v>22</v>
      </c>
      <c r="P14" s="61">
        <f>IF(($D14="S"),IF(PARTICIPANTS!$E13="P",IF((Q14&gt;0),RANK(Q14,Q$3:Q$36)-SUMPRODUCT(($D$3:$D$36&lt;&gt;$D14)*(Q$3:Q$36&gt;Q14)),IF(($D14="s"),COUNTIFS($D$3:$D$36,"=S",Q$3:Q$36,"&gt;0"),COUNTIFS($D$3:$D$36,"=J",Q$3:Q$36,"&gt;0"))+PARTICIPANTS!$B$41),PARTICIPANTS!$B$39+PARTICIPANTS!$B$41 ),IF(PARTICIPANTS!$E13="P",IF((Q14&gt;0),RANK(Q14,Q$3:Q$36)-SUMPRODUCT(($D$3:$D$36&lt;&gt;$D14)*(Q$3:Q$36&gt;Q14)),IF(($D14="s"),COUNTIFS($D$3:$D$36,"=S",Q$3:Q$36,"&gt;0"),COUNTIFS($D$3:$D$36,"=J",Q$3:Q$36,"&gt;0"))+PARTICIPANTS!$E$41),PARTICIPANTS!$E$39+PARTICIPANTS!$E$41 ))</f>
        <v>9</v>
      </c>
      <c r="Q14" s="61">
        <f>(S14*200)+(T14*10)+R14</f>
        <v>1704</v>
      </c>
      <c r="R14" s="61">
        <f>'Dequinze Benoit'!$D$41</f>
        <v>904</v>
      </c>
      <c r="S14" s="61">
        <f>COUNTIFS('Dequinze Benoit'!$C$3:$C$40,"=S")</f>
        <v>4</v>
      </c>
      <c r="T14" s="127">
        <f>COUNTIFS('Dequinze Benoit'!$C$3:$C$40,"=A")</f>
        <v>0</v>
      </c>
      <c r="U14" s="120">
        <f>VLOOKUP($C14,Rotations!$C$6:$G$37,4,FALSE)</f>
        <v>3</v>
      </c>
      <c r="V14" s="61">
        <f>IF(($D14="S"),IF(PARTICIPANTS!$E13="P",IF((W14&gt;0),RANK(W14,W$3:W$36)-SUMPRODUCT(($D$3:$D$36&lt;&gt;$D14)*(W$3:W$36&gt;W14)),IF(($D14="s"),COUNTIFS($D$3:$D$36,"=S",W$3:W$36,"&gt;0"),COUNTIFS($D$3:$D$36,"=J",W$3:W$36,"&gt;0"))+PARTICIPANTS!$B$41),PARTICIPANTS!$B$39+PARTICIPANTS!$B$41 ),IF(PARTICIPANTS!$E13="P",IF((W14&gt;0),RANK(W14,W$3:W$36)-SUMPRODUCT(($D$3:$D$36&lt;&gt;$D14)*(W$3:W$36&gt;W14)),IF(($D14="s"),COUNTIFS($D$3:$D$36,"=S",W$3:W$36,"&gt;0"),COUNTIFS($D$3:$D$36,"=J",W$3:W$36,"&gt;0"))+PARTICIPANTS!$E$41),PARTICIPANTS!$E$39+PARTICIPANTS!$E$41 ))</f>
        <v>2</v>
      </c>
      <c r="W14" s="61">
        <f>(Y14*200)+(Z14*20)+X14</f>
        <v>4247</v>
      </c>
      <c r="X14" s="61">
        <f>'Dequinze Benoit'!$F$41</f>
        <v>2247</v>
      </c>
      <c r="Y14" s="61">
        <f>COUNTIFS('Dequinze Benoit'!$E$3:$E$40,"=S")</f>
        <v>10</v>
      </c>
      <c r="Z14" s="127">
        <f>COUNTIFS('Dequinze Benoit'!$E$3:$E$40,"=A")</f>
        <v>0</v>
      </c>
      <c r="AA14" s="120">
        <f>VLOOKUP($C14,Rotations!$C$6:$G$37,5,FALSE)</f>
        <v>6</v>
      </c>
      <c r="AB14" s="61">
        <f>IF(($D14="S"),IF(PARTICIPANTS!$E13="P",IF((AC14&gt;0),RANK(AC14,AC$3:AC$36)-SUMPRODUCT(($D$3:$D$36&lt;&gt;$D14)*(AC$3:AC$36&gt;AC14)),IF(($D14="s"),COUNTIFS($D$3:$D$36,"=S",AC$3:AC$36,"&gt;0"),COUNTIFS($D$3:$D$36,"=J",AC$3:AC$36,"&gt;0"))+PARTICIPANTS!$B$41),PARTICIPANTS!$B$39+PARTICIPANTS!$B$41 ),IF(PARTICIPANTS!$E13="P",IF((AC14&gt;0),RANK(AC14,AC$3:AC$36)-SUMPRODUCT(($D$3:$D$36&lt;&gt;$D14)*(AC$3:AC$36&gt;AC14)),IF(($D14="s"),COUNTIFS($D$3:$D$36,"=S",AC$3:AC$36,"&gt;0"),COUNTIFS($D$3:$D$36,"=J",AC$3:AC$36,"&gt;0"))+PARTICIPANTS!$E$41),PARTICIPANTS!$E$39+PARTICIPANTS!$E$41 ))</f>
        <v>2</v>
      </c>
      <c r="AC14" s="61">
        <f>(AE14*200)+(AF14*20)+AD14</f>
        <v>2694</v>
      </c>
      <c r="AD14" s="61">
        <f>'Dequinze Benoit'!$H$41</f>
        <v>1494</v>
      </c>
      <c r="AE14" s="61">
        <f>COUNTIFS('Dequinze Benoit'!$G$3:$G$40,"=S")</f>
        <v>6</v>
      </c>
      <c r="AF14" s="127">
        <f>COUNTIFS('Dequinze Benoit'!$G$3:$G$40,"=A")</f>
        <v>0</v>
      </c>
    </row>
    <row r="15" spans="1:32" s="63" customFormat="1" ht="13.5" thickBot="1" x14ac:dyDescent="0.25">
      <c r="A15" s="64">
        <f>RANK(E15,$E$3:$E$36,1)</f>
        <v>8</v>
      </c>
      <c r="B15" s="65">
        <v>13</v>
      </c>
      <c r="C15" s="66" t="str">
        <f>VLOOKUP($B15,PARTICIPANTS!$B$1:$E$35,2,FALSE)</f>
        <v>Destiné Martin</v>
      </c>
      <c r="D15" s="66" t="str">
        <f>VLOOKUP($B15,PARTICIPANTS!$B$1:$E$35,3,FALSE)</f>
        <v>S</v>
      </c>
      <c r="E15" s="84">
        <f>SUM(J15,P15,V15,AB15)+F15</f>
        <v>51</v>
      </c>
      <c r="F15" s="67">
        <v>0</v>
      </c>
      <c r="G15" s="67">
        <f>K15+Q15+W15+AC15</f>
        <v>6627</v>
      </c>
      <c r="H15" s="109">
        <f>M15+N15+S15+T15+Y15+Z15+AE15+AF15</f>
        <v>14</v>
      </c>
      <c r="I15" s="120">
        <f>VLOOKUP($C15,Rotations!$C$6:$G$37,2,FALSE)</f>
        <v>32</v>
      </c>
      <c r="J15" s="61">
        <f>IF(($D15="S"),IF(PARTICIPANTS!$E14="P",IF((K15&gt;0),RANK(K15,K$3:K$36)-SUMPRODUCT(($D$3:$D$36&lt;&gt;$D15)*(K$3:K$36&gt;K15)),IF(($D15="s"),COUNTIFS($D$3:$D$36,"=S",K$3:K$36,"&gt;0"),COUNTIFS($D$3:$D$36,"=J",K$3:K$36,"&gt;0"))+PARTICIPANTS!$B$41),PARTICIPANTS!$B$39+PARTICIPANTS!$B$41 ),IF(PARTICIPANTS!$E14="P",IF((K15&gt;0),RANK(K15,K$3:K$27)-SUMPRODUCT(($D$3:$D$36&lt;&gt;$D15)*(K$3:K$36&gt;K15)),IF(($D15="s"),COUNTIFS($D$3:$D$36,"=S",K$3:K$27,"&gt;0"),COUNTIFS($D$3:$D$36,"=J",K$3:K$36,"&gt;0"))+PARTICIPANTS!$E$41),PARTICIPANTS!$E$39+PARTICIPANTS!$E$41 ))</f>
        <v>7</v>
      </c>
      <c r="K15" s="61">
        <f>(M15*200)+(N15*10)+L15</f>
        <v>2531</v>
      </c>
      <c r="L15" s="61">
        <f>'Destiné Martin'!$B$41</f>
        <v>1531</v>
      </c>
      <c r="M15" s="62">
        <f>COUNTIFS('Destiné Martin'!$A$3:$A$40,"=S")</f>
        <v>5</v>
      </c>
      <c r="N15" s="121">
        <f>COUNTIFS('Destiné Martin'!$A$3:$A$40,"=A")</f>
        <v>0</v>
      </c>
      <c r="O15" s="120">
        <f>VLOOKUP($C15,Rotations!$C$6:$G$37,3,FALSE)</f>
        <v>28</v>
      </c>
      <c r="P15" s="61">
        <f>IF(($D15="S"),IF(PARTICIPANTS!$E14="P",IF((Q15&gt;0),RANK(Q15,Q$3:Q$36)-SUMPRODUCT(($D$3:$D$36&lt;&gt;$D15)*(Q$3:Q$36&gt;Q15)),IF(($D15="s"),COUNTIFS($D$3:$D$36,"=S",Q$3:Q$36,"&gt;0"),COUNTIFS($D$3:$D$36,"=J",Q$3:Q$36,"&gt;0"))+PARTICIPANTS!$B$41),PARTICIPANTS!$B$39+PARTICIPANTS!$B$41 ),IF(PARTICIPANTS!$E14="P",IF((Q15&gt;0),RANK(Q15,Q$3:Q$36)-SUMPRODUCT(($D$3:$D$36&lt;&gt;$D15)*(Q$3:Q$36&gt;Q15)),IF(($D15="s"),COUNTIFS($D$3:$D$36,"=S",Q$3:Q$36,"&gt;0"),COUNTIFS($D$3:$D$36,"=J",Q$3:Q$36,"&gt;0"))+PARTICIPANTS!$E$41),PARTICIPANTS!$E$39+PARTICIPANTS!$E$41 ))</f>
        <v>15</v>
      </c>
      <c r="Q15" s="61">
        <f>(S15*200)+(T15*10)+R15</f>
        <v>1347</v>
      </c>
      <c r="R15" s="61">
        <f>'Destiné Martin'!$D$41</f>
        <v>747</v>
      </c>
      <c r="S15" s="61">
        <f>COUNTIFS('Destiné Martin'!$C$3:$C$40,"=S")</f>
        <v>3</v>
      </c>
      <c r="T15" s="127">
        <f>COUNTIFS('Destiné Martin'!$C$3:$C$40,"=A")</f>
        <v>0</v>
      </c>
      <c r="U15" s="120">
        <f>VLOOKUP($C15,Rotations!$C$6:$G$37,4,FALSE)</f>
        <v>16</v>
      </c>
      <c r="V15" s="61">
        <f>IF(($D15="S"),IF(PARTICIPANTS!$E14="P",IF((W15&gt;0),RANK(W15,W$3:W$36)-SUMPRODUCT(($D$3:$D$36&lt;&gt;$D15)*(W$3:W$36&gt;W15)),IF(($D15="s"),COUNTIFS($D$3:$D$36,"=S",W$3:W$36,"&gt;0"),COUNTIFS($D$3:$D$36,"=J",W$3:W$36,"&gt;0"))+PARTICIPANTS!$B$41),PARTICIPANTS!$B$39+PARTICIPANTS!$B$41 ),IF(PARTICIPANTS!$E14="P",IF((W15&gt;0),RANK(W15,W$3:W$36)-SUMPRODUCT(($D$3:$D$36&lt;&gt;$D15)*(W$3:W$36&gt;W15)),IF(($D15="s"),COUNTIFS($D$3:$D$36,"=S",W$3:W$36,"&gt;0"),COUNTIFS($D$3:$D$36,"=J",W$3:W$36,"&gt;0"))+PARTICIPANTS!$E$41),PARTICIPANTS!$E$39+PARTICIPANTS!$E$41 ))</f>
        <v>11</v>
      </c>
      <c r="W15" s="61">
        <f>(Y15*200)+(Z15*20)+X15</f>
        <v>1847</v>
      </c>
      <c r="X15" s="61">
        <f>'Destiné Martin'!$F$41</f>
        <v>1047</v>
      </c>
      <c r="Y15" s="61">
        <f>COUNTIFS('Destiné Martin'!$E$3:$E$40,"=S")</f>
        <v>4</v>
      </c>
      <c r="Z15" s="127">
        <f>COUNTIFS('Destiné Martin'!$E$3:$E$40,"=A")</f>
        <v>0</v>
      </c>
      <c r="AA15" s="120">
        <f>VLOOKUP($C15,Rotations!$C$6:$G$37,5,FALSE)</f>
        <v>18</v>
      </c>
      <c r="AB15" s="61">
        <f>IF(($D15="S"),IF(PARTICIPANTS!$E14="P",IF((AC15&gt;0),RANK(AC15,AC$3:AC$36)-SUMPRODUCT(($D$3:$D$36&lt;&gt;$D15)*(AC$3:AC$36&gt;AC15)),IF(($D15="s"),COUNTIFS($D$3:$D$36,"=S",AC$3:AC$36,"&gt;0"),COUNTIFS($D$3:$D$36,"=J",AC$3:AC$36,"&gt;0"))+PARTICIPANTS!$B$41),PARTICIPANTS!$B$39+PARTICIPANTS!$B$41 ),IF(PARTICIPANTS!$E14="P",IF((AC15&gt;0),RANK(AC15,AC$3:AC$36)-SUMPRODUCT(($D$3:$D$36&lt;&gt;$D15)*(AC$3:AC$36&gt;AC15)),IF(($D15="s"),COUNTIFS($D$3:$D$36,"=S",AC$3:AC$36,"&gt;0"),COUNTIFS($D$3:$D$36,"=J",AC$3:AC$36,"&gt;0"))+PARTICIPANTS!$E$41),PARTICIPANTS!$E$39+PARTICIPANTS!$E$41 ))</f>
        <v>18</v>
      </c>
      <c r="AC15" s="61">
        <f>(AE15*200)+(AF15*20)+AD15</f>
        <v>902</v>
      </c>
      <c r="AD15" s="61">
        <f>'Destiné Martin'!$H$41</f>
        <v>502</v>
      </c>
      <c r="AE15" s="61">
        <f>COUNTIFS('Destiné Martin'!$G$3:$G$40,"=S")</f>
        <v>2</v>
      </c>
      <c r="AF15" s="127">
        <f>COUNTIFS('Destiné Martin'!$G$3:$G$40,"=A")</f>
        <v>0</v>
      </c>
    </row>
    <row r="16" spans="1:32" s="63" customFormat="1" ht="13.5" thickBot="1" x14ac:dyDescent="0.25">
      <c r="A16" s="64">
        <f>RANK(E16,$E$3:$E$36,1)</f>
        <v>20</v>
      </c>
      <c r="B16" s="65">
        <v>14</v>
      </c>
      <c r="C16" s="66" t="str">
        <f>VLOOKUP($B16,PARTICIPANTS!$B$1:$E$35,2,FALSE)</f>
        <v>Devooght Giani</v>
      </c>
      <c r="D16" s="66" t="str">
        <f>VLOOKUP($B16,PARTICIPANTS!$B$1:$E$35,3,FALSE)</f>
        <v>S</v>
      </c>
      <c r="E16" s="84">
        <f>SUM(J16,P16,V16,AB16)+F16</f>
        <v>81</v>
      </c>
      <c r="F16" s="67">
        <v>0</v>
      </c>
      <c r="G16" s="67">
        <f>K16+Q16+W16+AC16</f>
        <v>4246</v>
      </c>
      <c r="H16" s="109">
        <f>M16+N16+S16+T16+Y16+Z16+AE16+AF16</f>
        <v>8</v>
      </c>
      <c r="I16" s="120">
        <f>VLOOKUP($C16,Rotations!$C$6:$G$37,2,FALSE)</f>
        <v>15</v>
      </c>
      <c r="J16" s="61">
        <f>IF(($D16="S"),IF(PARTICIPANTS!$E15="P",IF((K16&gt;0),RANK(K16,K$3:K$36)-SUMPRODUCT(($D$3:$D$36&lt;&gt;$D16)*(K$3:K$36&gt;K16)),IF(($D16="s"),COUNTIFS($D$3:$D$36,"=S",K$3:K$36,"&gt;0"),COUNTIFS($D$3:$D$36,"=J",K$3:K$36,"&gt;0"))+PARTICIPANTS!$B$41),PARTICIPANTS!$B$39+PARTICIPANTS!$B$41 ),IF(PARTICIPANTS!$E15="P",IF((K16&gt;0),RANK(K16,K$3:K$27)-SUMPRODUCT(($D$3:$D$36&lt;&gt;$D16)*(K$3:K$36&gt;K16)),IF(($D16="s"),COUNTIFS($D$3:$D$36,"=S",K$3:K$27,"&gt;0"),COUNTIFS($D$3:$D$36,"=J",K$3:K$36,"&gt;0"))+PARTICIPANTS!$E$41),PARTICIPANTS!$E$39+PARTICIPANTS!$E$41 ))</f>
        <v>22</v>
      </c>
      <c r="K16" s="61">
        <f>(M16*200)+(N16*10)+L16</f>
        <v>553</v>
      </c>
      <c r="L16" s="61">
        <f>'Devooght Giani'!$B$41</f>
        <v>353</v>
      </c>
      <c r="M16" s="62">
        <f>COUNTIFS('Devooght Giani'!$A$3:$A$40,"=S")</f>
        <v>1</v>
      </c>
      <c r="N16" s="121">
        <f>COUNTIFS('Devooght Giani'!$A$3:$A$40,"=A")</f>
        <v>0</v>
      </c>
      <c r="O16" s="120">
        <f>VLOOKUP($C16,Rotations!$C$6:$G$37,3,FALSE)</f>
        <v>17</v>
      </c>
      <c r="P16" s="61">
        <f>IF(($D16="S"),IF(PARTICIPANTS!$E15="P",IF((Q16&gt;0),RANK(Q16,Q$3:Q$36)-SUMPRODUCT(($D$3:$D$36&lt;&gt;$D16)*(Q$3:Q$36&gt;Q16)),IF(($D16="s"),COUNTIFS($D$3:$D$36,"=S",Q$3:Q$36,"&gt;0"),COUNTIFS($D$3:$D$36,"=J",Q$3:Q$36,"&gt;0"))+PARTICIPANTS!$B$41),PARTICIPANTS!$B$39+PARTICIPANTS!$B$41 ),IF(PARTICIPANTS!$E15="P",IF((Q16&gt;0),RANK(Q16,Q$3:Q$36)-SUMPRODUCT(($D$3:$D$36&lt;&gt;$D16)*(Q$3:Q$36&gt;Q16)),IF(($D16="s"),COUNTIFS($D$3:$D$36,"=S",Q$3:Q$36,"&gt;0"),COUNTIFS($D$3:$D$36,"=J",Q$3:Q$36,"&gt;0"))+PARTICIPANTS!$E$41),PARTICIPANTS!$E$39+PARTICIPANTS!$E$41 ))</f>
        <v>38</v>
      </c>
      <c r="Q16" s="61">
        <f>(S16*200)+(T16*10)+R16</f>
        <v>0</v>
      </c>
      <c r="R16" s="61">
        <f>'Devooght Giani'!$D$41</f>
        <v>0</v>
      </c>
      <c r="S16" s="61">
        <f>COUNTIFS('Devooght Giani'!$C$3:$C$40,"=S")</f>
        <v>0</v>
      </c>
      <c r="T16" s="127">
        <f>COUNTIFS('Devooght Giani'!$C$3:$C$40,"=A")</f>
        <v>0</v>
      </c>
      <c r="U16" s="120">
        <f>VLOOKUP($C16,Rotations!$C$6:$G$37,4,FALSE)</f>
        <v>31</v>
      </c>
      <c r="V16" s="61">
        <f>IF(($D16="S"),IF(PARTICIPANTS!$E15="P",IF((W16&gt;0),RANK(W16,W$3:W$36)-SUMPRODUCT(($D$3:$D$36&lt;&gt;$D16)*(W$3:W$36&gt;W16)),IF(($D16="s"),COUNTIFS($D$3:$D$36,"=S",W$3:W$36,"&gt;0"),COUNTIFS($D$3:$D$36,"=J",W$3:W$36,"&gt;0"))+PARTICIPANTS!$B$41),PARTICIPANTS!$B$39+PARTICIPANTS!$B$41 ),IF(PARTICIPANTS!$E15="P",IF((W16&gt;0),RANK(W16,W$3:W$36)-SUMPRODUCT(($D$3:$D$36&lt;&gt;$D16)*(W$3:W$36&gt;W16)),IF(($D16="s"),COUNTIFS($D$3:$D$36,"=S",W$3:W$36,"&gt;0"),COUNTIFS($D$3:$D$36,"=J",W$3:W$36,"&gt;0"))+PARTICIPANTS!$E$41),PARTICIPANTS!$E$39+PARTICIPANTS!$E$41 ))</f>
        <v>8</v>
      </c>
      <c r="W16" s="61">
        <f>(Y16*200)+(Z16*20)+X16</f>
        <v>2322</v>
      </c>
      <c r="X16" s="61">
        <f>'Devooght Giani'!$F$41</f>
        <v>1522</v>
      </c>
      <c r="Y16" s="61">
        <f>COUNTIFS('Devooght Giani'!$E$3:$E$40,"=S")</f>
        <v>4</v>
      </c>
      <c r="Z16" s="127">
        <f>COUNTIFS('Devooght Giani'!$E$3:$E$40,"=A")</f>
        <v>0</v>
      </c>
      <c r="AA16" s="120">
        <f>VLOOKUP($C16,Rotations!$C$6:$G$37,5,FALSE)</f>
        <v>27</v>
      </c>
      <c r="AB16" s="61">
        <f>IF(($D16="S"),IF(PARTICIPANTS!$E15="P",IF((AC16&gt;0),RANK(AC16,AC$3:AC$36)-SUMPRODUCT(($D$3:$D$36&lt;&gt;$D16)*(AC$3:AC$36&gt;AC16)),IF(($D16="s"),COUNTIFS($D$3:$D$36,"=S",AC$3:AC$36,"&gt;0"),COUNTIFS($D$3:$D$36,"=J",AC$3:AC$36,"&gt;0"))+PARTICIPANTS!$B$41),PARTICIPANTS!$B$39+PARTICIPANTS!$B$41 ),IF(PARTICIPANTS!$E15="P",IF((AC16&gt;0),RANK(AC16,AC$3:AC$36)-SUMPRODUCT(($D$3:$D$36&lt;&gt;$D16)*(AC$3:AC$36&gt;AC16)),IF(($D16="s"),COUNTIFS($D$3:$D$36,"=S",AC$3:AC$36,"&gt;0"),COUNTIFS($D$3:$D$36,"=J",AC$3:AC$36,"&gt;0"))+PARTICIPANTS!$E$41),PARTICIPANTS!$E$39+PARTICIPANTS!$E$41 ))</f>
        <v>13</v>
      </c>
      <c r="AC16" s="61">
        <f>(AE16*200)+(AF16*20)+AD16</f>
        <v>1371</v>
      </c>
      <c r="AD16" s="61">
        <f>'Devooght Giani'!$H$41</f>
        <v>771</v>
      </c>
      <c r="AE16" s="61">
        <f>COUNTIFS('Devooght Giani'!$G$3:$G$40,"=S")</f>
        <v>3</v>
      </c>
      <c r="AF16" s="127">
        <f>COUNTIFS('Devooght Giani'!$G$3:$G$40,"=A")</f>
        <v>0</v>
      </c>
    </row>
    <row r="17" spans="1:32" s="63" customFormat="1" ht="13.5" thickBot="1" x14ac:dyDescent="0.25">
      <c r="A17" s="64">
        <f>RANK(E17,$E$3:$E$36,1)</f>
        <v>17</v>
      </c>
      <c r="B17" s="65">
        <v>15</v>
      </c>
      <c r="C17" s="66" t="str">
        <f>VLOOKUP($B17,PARTICIPANTS!$B$1:$E$35,2,FALSE)</f>
        <v>DiMarco David</v>
      </c>
      <c r="D17" s="66" t="str">
        <f>VLOOKUP($B17,PARTICIPANTS!$B$1:$E$35,3,FALSE)</f>
        <v>S</v>
      </c>
      <c r="E17" s="84">
        <f>SUM(J17,P17,V17,AB17)+F17</f>
        <v>73</v>
      </c>
      <c r="F17" s="67">
        <v>0</v>
      </c>
      <c r="G17" s="67">
        <f>K17+Q17+W17+AC17</f>
        <v>6986</v>
      </c>
      <c r="H17" s="109">
        <f>M17+N17+S17+T17+Y17+Z17+AE17+AF17</f>
        <v>15</v>
      </c>
      <c r="I17" s="120">
        <f>VLOOKUP($C17,Rotations!$C$6:$G$37,2,FALSE)</f>
        <v>7</v>
      </c>
      <c r="J17" s="61">
        <f>IF(($D17="S"),IF(PARTICIPANTS!$E16="P",IF((K17&gt;0),RANK(K17,K$3:K$36)-SUMPRODUCT(($D$3:$D$36&lt;&gt;$D17)*(K$3:K$36&gt;K17)),IF(($D17="s"),COUNTIFS($D$3:$D$36,"=S",K$3:K$36,"&gt;0"),COUNTIFS($D$3:$D$36,"=J",K$3:K$36,"&gt;0"))+PARTICIPANTS!$B$41),PARTICIPANTS!$B$39+PARTICIPANTS!$B$41 ),IF(PARTICIPANTS!$E16="P",IF((K17&gt;0),RANK(K17,K$3:K$27)-SUMPRODUCT(($D$3:$D$36&lt;&gt;$D17)*(K$3:K$36&gt;K17)),IF(($D17="s"),COUNTIFS($D$3:$D$36,"=S",K$3:K$27,"&gt;0"),COUNTIFS($D$3:$D$36,"=J",K$3:K$36,"&gt;0"))+PARTICIPANTS!$E$41),PARTICIPANTS!$E$39+PARTICIPANTS!$E$41 ))</f>
        <v>16</v>
      </c>
      <c r="K17" s="61">
        <f>(M17*200)+(N17*10)+L17</f>
        <v>1406</v>
      </c>
      <c r="L17" s="61">
        <f>'DiMarco David'!$B$41</f>
        <v>806</v>
      </c>
      <c r="M17" s="62">
        <f>COUNTIFS('DiMarco David'!$A$3:$A$40,"=S")</f>
        <v>3</v>
      </c>
      <c r="N17" s="121">
        <f>COUNTIFS('DiMarco David'!$A$3:$A$40,"=A")</f>
        <v>0</v>
      </c>
      <c r="O17" s="120">
        <f>VLOOKUP($C17,Rotations!$C$6:$G$37,3,FALSE)</f>
        <v>9</v>
      </c>
      <c r="P17" s="61">
        <f>IF(($D17="S"),IF(PARTICIPANTS!$E16="P",IF((Q17&gt;0),RANK(Q17,Q$3:Q$36)-SUMPRODUCT(($D$3:$D$36&lt;&gt;$D17)*(Q$3:Q$36&gt;Q17)),IF(($D17="s"),COUNTIFS($D$3:$D$36,"=S",Q$3:Q$36,"&gt;0"),COUNTIFS($D$3:$D$36,"=J",Q$3:Q$36,"&gt;0"))+PARTICIPANTS!$B$41),PARTICIPANTS!$B$39+PARTICIPANTS!$B$41 ),IF(PARTICIPANTS!$E16="P",IF((Q17&gt;0),RANK(Q17,Q$3:Q$36)-SUMPRODUCT(($D$3:$D$36&lt;&gt;$D17)*(Q$3:Q$36&gt;Q17)),IF(($D17="s"),COUNTIFS($D$3:$D$36,"=S",Q$3:Q$36,"&gt;0"),COUNTIFS($D$3:$D$36,"=J",Q$3:Q$36,"&gt;0"))+PARTICIPANTS!$E$41),PARTICIPANTS!$E$39+PARTICIPANTS!$E$41 ))</f>
        <v>2</v>
      </c>
      <c r="Q17" s="61">
        <f>(S17*200)+(T17*10)+R17</f>
        <v>4075</v>
      </c>
      <c r="R17" s="61">
        <f>'DiMarco David'!$D$41</f>
        <v>2275</v>
      </c>
      <c r="S17" s="61">
        <f>COUNTIFS('DiMarco David'!$C$3:$C$40,"=S")</f>
        <v>9</v>
      </c>
      <c r="T17" s="127">
        <f>COUNTIFS('DiMarco David'!$C$3:$C$40,"=A")</f>
        <v>0</v>
      </c>
      <c r="U17" s="120">
        <f>VLOOKUP($C17,Rotations!$C$6:$G$37,4,FALSE)</f>
        <v>23</v>
      </c>
      <c r="V17" s="61">
        <f>IF(($D17="S"),IF(PARTICIPANTS!$E16="P",IF((W17&gt;0),RANK(W17,W$3:W$36)-SUMPRODUCT(($D$3:$D$36&lt;&gt;$D17)*(W$3:W$36&gt;W17)),IF(($D17="s"),COUNTIFS($D$3:$D$36,"=S",W$3:W$36,"&gt;0"),COUNTIFS($D$3:$D$36,"=J",W$3:W$36,"&gt;0"))+PARTICIPANTS!$B$41),PARTICIPANTS!$B$39+PARTICIPANTS!$B$41 ),IF(PARTICIPANTS!$E16="P",IF((W17&gt;0),RANK(W17,W$3:W$36)-SUMPRODUCT(($D$3:$D$36&lt;&gt;$D17)*(W$3:W$36&gt;W17)),IF(($D17="s"),COUNTIFS($D$3:$D$36,"=S",W$3:W$36,"&gt;0"),COUNTIFS($D$3:$D$36,"=J",W$3:W$36,"&gt;0"))+PARTICIPANTS!$E$41),PARTICIPANTS!$E$39+PARTICIPANTS!$E$41 ))</f>
        <v>15</v>
      </c>
      <c r="W17" s="61">
        <f>(Y17*200)+(Z17*20)+X17</f>
        <v>1505</v>
      </c>
      <c r="X17" s="61">
        <f>'DiMarco David'!$F$41</f>
        <v>905</v>
      </c>
      <c r="Y17" s="61">
        <f>COUNTIFS('DiMarco David'!$E$3:$E$40,"=S")</f>
        <v>3</v>
      </c>
      <c r="Z17" s="127">
        <f>COUNTIFS('DiMarco David'!$E$3:$E$40,"=A")</f>
        <v>0</v>
      </c>
      <c r="AA17" s="120">
        <f>VLOOKUP($C17,Rotations!$C$6:$G$37,5,FALSE)</f>
        <v>20</v>
      </c>
      <c r="AB17" s="61">
        <f>IF(($D17="S"),IF(PARTICIPANTS!$E16="P",IF((AC17&gt;0),RANK(AC17,AC$3:AC$36)-SUMPRODUCT(($D$3:$D$36&lt;&gt;$D17)*(AC$3:AC$36&gt;AC17)),IF(($D17="s"),COUNTIFS($D$3:$D$36,"=S",AC$3:AC$36,"&gt;0"),COUNTIFS($D$3:$D$36,"=J",AC$3:AC$36,"&gt;0"))+PARTICIPANTS!$B$41),PARTICIPANTS!$B$39+PARTICIPANTS!$B$41 ),IF(PARTICIPANTS!$E16="P",IF((AC17&gt;0),RANK(AC17,AC$3:AC$36)-SUMPRODUCT(($D$3:$D$36&lt;&gt;$D17)*(AC$3:AC$36&gt;AC17)),IF(($D17="s"),COUNTIFS($D$3:$D$36,"=S",AC$3:AC$36,"&gt;0"),COUNTIFS($D$3:$D$36,"=J",AC$3:AC$36,"&gt;0"))+PARTICIPANTS!$E$41),PARTICIPANTS!$E$39+PARTICIPANTS!$E$41 ))</f>
        <v>40</v>
      </c>
      <c r="AC17" s="61">
        <f>(AE17*200)+(AF17*20)+AD17</f>
        <v>0</v>
      </c>
      <c r="AD17" s="61">
        <f>'DiMarco David'!$H$41</f>
        <v>0</v>
      </c>
      <c r="AE17" s="61">
        <f>COUNTIFS('DiMarco David'!$G$3:$G$40,"=S")</f>
        <v>0</v>
      </c>
      <c r="AF17" s="127">
        <f>COUNTIFS('DiMarco David'!$G$3:$G$40,"=A")</f>
        <v>0</v>
      </c>
    </row>
    <row r="18" spans="1:32" s="63" customFormat="1" ht="13.5" thickBot="1" x14ac:dyDescent="0.25">
      <c r="A18" s="64">
        <f>RANK(E18,$E$3:$E$36,1)</f>
        <v>32</v>
      </c>
      <c r="B18" s="65">
        <v>16</v>
      </c>
      <c r="C18" s="66" t="str">
        <f>VLOOKUP($B18,PARTICIPANTS!$B$1:$E$35,2,FALSE)</f>
        <v>Dockier Fabrice</v>
      </c>
      <c r="D18" s="66" t="str">
        <f>VLOOKUP($B18,PARTICIPANTS!$B$1:$E$35,3,FALSE)</f>
        <v>S</v>
      </c>
      <c r="E18" s="84">
        <f>SUM(J18,P18,V18,AB18)+F18</f>
        <v>184</v>
      </c>
      <c r="F18" s="67">
        <v>0</v>
      </c>
      <c r="G18" s="67">
        <f>K18+Q18+W18+AC18</f>
        <v>0</v>
      </c>
      <c r="H18" s="109">
        <f>M18+N18+S18+T18+Y18+Z18+AE18+AF18</f>
        <v>0</v>
      </c>
      <c r="I18" s="120" t="e">
        <f>VLOOKUP($C18,Rotations!$C$6:$G$37,2,FALSE)</f>
        <v>#N/A</v>
      </c>
      <c r="J18" s="61">
        <f>IF(($D18="S"),IF(PARTICIPANTS!$E17="P",IF((K18&gt;0),RANK(K18,K$3:K$36)-SUMPRODUCT(($D$3:$D$36&lt;&gt;$D18)*(K$3:K$36&gt;K18)),IF(($D18="s"),COUNTIFS($D$3:$D$36,"=S",K$3:K$36,"&gt;0"),COUNTIFS($D$3:$D$36,"=J",K$3:K$36,"&gt;0"))+PARTICIPANTS!$B$41),PARTICIPANTS!$B$39+PARTICIPANTS!$B$41 ),IF(PARTICIPANTS!$E17="P",IF((K18&gt;0),RANK(K18,K$3:K$27)-SUMPRODUCT(($D$3:$D$36&lt;&gt;$D18)*(K$3:K$36&gt;K18)),IF(($D18="s"),COUNTIFS($D$3:$D$36,"=S",K$3:K$27,"&gt;0"),COUNTIFS($D$3:$D$36,"=J",K$3:K$36,"&gt;0"))+PARTICIPANTS!$E$41),PARTICIPANTS!$E$39+PARTICIPANTS!$E$41 ))</f>
        <v>46</v>
      </c>
      <c r="K18" s="61">
        <f>(M18*200)+(N18*10)+L18</f>
        <v>0</v>
      </c>
      <c r="L18" s="61">
        <f>'Dockier Fabrice'!$B$41</f>
        <v>0</v>
      </c>
      <c r="M18" s="62">
        <f>COUNTIFS('Dockier Fabrice'!$A$3:$A$40,"=S")</f>
        <v>0</v>
      </c>
      <c r="N18" s="121">
        <f>COUNTIFS('Dockier Fabrice'!$A$3:$A$40,"=A")</f>
        <v>0</v>
      </c>
      <c r="O18" s="120" t="e">
        <f>VLOOKUP($C18,Rotations!$C$6:$G$37,3,FALSE)</f>
        <v>#N/A</v>
      </c>
      <c r="P18" s="61">
        <f>IF(($D18="S"),IF(PARTICIPANTS!$E17="P",IF((Q18&gt;0),RANK(Q18,Q$3:Q$36)-SUMPRODUCT(($D$3:$D$36&lt;&gt;$D18)*(Q$3:Q$36&gt;Q18)),IF(($D18="s"),COUNTIFS($D$3:$D$36,"=S",Q$3:Q$36,"&gt;0"),COUNTIFS($D$3:$D$36,"=J",Q$3:Q$36,"&gt;0"))+PARTICIPANTS!$B$41),PARTICIPANTS!$B$39+PARTICIPANTS!$B$41 ),IF(PARTICIPANTS!$E17="P",IF((Q18&gt;0),RANK(Q18,Q$3:Q$36)-SUMPRODUCT(($D$3:$D$36&lt;&gt;$D18)*(Q$3:Q$36&gt;Q18)),IF(($D18="s"),COUNTIFS($D$3:$D$36,"=S",Q$3:Q$36,"&gt;0"),COUNTIFS($D$3:$D$36,"=J",Q$3:Q$36,"&gt;0"))+PARTICIPANTS!$E$41),PARTICIPANTS!$E$39+PARTICIPANTS!$E$41 ))</f>
        <v>46</v>
      </c>
      <c r="Q18" s="61">
        <f>(S18*200)+(T18*10)+R18</f>
        <v>0</v>
      </c>
      <c r="R18" s="61">
        <f>'Dockier Fabrice'!$D$41</f>
        <v>0</v>
      </c>
      <c r="S18" s="61">
        <f>COUNTIFS('Dockier Fabrice'!$C$3:$C$40,"=S")</f>
        <v>0</v>
      </c>
      <c r="T18" s="127">
        <f>COUNTIFS('Dockier Fabrice'!$C$3:$C$40,"=A")</f>
        <v>0</v>
      </c>
      <c r="U18" s="120" t="e">
        <f>VLOOKUP($C18,Rotations!$C$6:$G$37,4,FALSE)</f>
        <v>#N/A</v>
      </c>
      <c r="V18" s="61">
        <f>IF(($D18="S"),IF(PARTICIPANTS!$E17="P",IF((W18&gt;0),RANK(W18,W$3:W$36)-SUMPRODUCT(($D$3:$D$36&lt;&gt;$D18)*(W$3:W$36&gt;W18)),IF(($D18="s"),COUNTIFS($D$3:$D$36,"=S",W$3:W$36,"&gt;0"),COUNTIFS($D$3:$D$36,"=J",W$3:W$36,"&gt;0"))+PARTICIPANTS!$B$41),PARTICIPANTS!$B$39+PARTICIPANTS!$B$41 ),IF(PARTICIPANTS!$E17="P",IF((W18&gt;0),RANK(W18,W$3:W$36)-SUMPRODUCT(($D$3:$D$36&lt;&gt;$D18)*(W$3:W$36&gt;W18)),IF(($D18="s"),COUNTIFS($D$3:$D$36,"=S",W$3:W$36,"&gt;0"),COUNTIFS($D$3:$D$36,"=J",W$3:W$36,"&gt;0"))+PARTICIPANTS!$E$41),PARTICIPANTS!$E$39+PARTICIPANTS!$E$41 ))</f>
        <v>46</v>
      </c>
      <c r="W18" s="61">
        <f>(Y18*200)+(Z18*20)+X18</f>
        <v>0</v>
      </c>
      <c r="X18" s="61">
        <f>'Dockier Fabrice'!$F$41</f>
        <v>0</v>
      </c>
      <c r="Y18" s="61">
        <f>COUNTIFS('Dockier Fabrice'!$E$3:$E$40,"=S")</f>
        <v>0</v>
      </c>
      <c r="Z18" s="127">
        <f>COUNTIFS('Dockier Fabrice'!$E$3:$E$40,"=A")</f>
        <v>0</v>
      </c>
      <c r="AA18" s="120" t="e">
        <f>VLOOKUP($C18,Rotations!$C$6:$G$37,5,FALSE)</f>
        <v>#N/A</v>
      </c>
      <c r="AB18" s="61">
        <f>IF(($D18="S"),IF(PARTICIPANTS!$E17="P",IF((AC18&gt;0),RANK(AC18,AC$3:AC$36)-SUMPRODUCT(($D$3:$D$36&lt;&gt;$D18)*(AC$3:AC$36&gt;AC18)),IF(($D18="s"),COUNTIFS($D$3:$D$36,"=S",AC$3:AC$36,"&gt;0"),COUNTIFS($D$3:$D$36,"=J",AC$3:AC$36,"&gt;0"))+PARTICIPANTS!$B$41),PARTICIPANTS!$B$39+PARTICIPANTS!$B$41 ),IF(PARTICIPANTS!$E17="P",IF((AC18&gt;0),RANK(AC18,AC$3:AC$36)-SUMPRODUCT(($D$3:$D$36&lt;&gt;$D18)*(AC$3:AC$36&gt;AC18)),IF(($D18="s"),COUNTIFS($D$3:$D$36,"=S",AC$3:AC$36,"&gt;0"),COUNTIFS($D$3:$D$36,"=J",AC$3:AC$36,"&gt;0"))+PARTICIPANTS!$E$41),PARTICIPANTS!$E$39+PARTICIPANTS!$E$41 ))</f>
        <v>46</v>
      </c>
      <c r="AC18" s="61">
        <f>(AE18*200)+(AF18*20)+AD18</f>
        <v>0</v>
      </c>
      <c r="AD18" s="61">
        <f>'Dockier Fabrice'!$H$41</f>
        <v>0</v>
      </c>
      <c r="AE18" s="61">
        <f>COUNTIFS('Dockier Fabrice'!$G$3:$G$40,"=S")</f>
        <v>0</v>
      </c>
      <c r="AF18" s="127">
        <f>COUNTIFS('Dockier Fabrice'!$G$3:$G$40,"=A")</f>
        <v>0</v>
      </c>
    </row>
    <row r="19" spans="1:32" s="63" customFormat="1" ht="13.5" thickBot="1" x14ac:dyDescent="0.25">
      <c r="A19" s="64">
        <f>RANK(E19,$E$3:$E$36,1)</f>
        <v>32</v>
      </c>
      <c r="B19" s="65">
        <v>17</v>
      </c>
      <c r="C19" s="66" t="str">
        <f>VLOOKUP($B19,PARTICIPANTS!$B$1:$E$35,2,FALSE)</f>
        <v>Dupont  Olivier</v>
      </c>
      <c r="D19" s="66" t="str">
        <f>VLOOKUP($B19,PARTICIPANTS!$B$1:$E$35,3,FALSE)</f>
        <v>S</v>
      </c>
      <c r="E19" s="84">
        <f>SUM(J19,P19,V19,AB19)+F19</f>
        <v>184</v>
      </c>
      <c r="F19" s="67">
        <v>0</v>
      </c>
      <c r="G19" s="67">
        <f>K19+Q19+W19+AC19</f>
        <v>0</v>
      </c>
      <c r="H19" s="109">
        <f>M19+N19+S19+T19+Y19+Z19+AE19+AF19</f>
        <v>0</v>
      </c>
      <c r="I19" s="120">
        <f>VLOOKUP($C19,Rotations!$C$6:$G$37,2,FALSE)</f>
        <v>21</v>
      </c>
      <c r="J19" s="61">
        <f>IF(($D19="S"),IF(PARTICIPANTS!$E18="P",IF((K19&gt;0),RANK(K19,K$3:K$36)-SUMPRODUCT(($D$3:$D$36&lt;&gt;$D19)*(K$3:K$36&gt;K19)),IF(($D19="s"),COUNTIFS($D$3:$D$36,"=S",K$3:K$36,"&gt;0"),COUNTIFS($D$3:$D$36,"=J",K$3:K$36,"&gt;0"))+PARTICIPANTS!$B$41),PARTICIPANTS!$B$39+PARTICIPANTS!$B$41 ),IF(PARTICIPANTS!$E18="P",IF((K19&gt;0),RANK(K19,K$3:K$27)-SUMPRODUCT(($D$3:$D$36&lt;&gt;$D19)*(K$3:K$36&gt;K19)),IF(($D19="s"),COUNTIFS($D$3:$D$36,"=S",K$3:K$27,"&gt;0"),COUNTIFS($D$3:$D$36,"=J",K$3:K$36,"&gt;0"))+PARTICIPANTS!$E$41),PARTICIPANTS!$E$39+PARTICIPANTS!$E$41 ))</f>
        <v>46</v>
      </c>
      <c r="K19" s="61">
        <f>(M19*200)+(N19*10)+L19</f>
        <v>0</v>
      </c>
      <c r="L19" s="61">
        <f>'Dupont  Olivier'!$B$41</f>
        <v>0</v>
      </c>
      <c r="M19" s="62">
        <f>COUNTIFS('Dupont  Olivier'!$A$3:$A$40,"=S")</f>
        <v>0</v>
      </c>
      <c r="N19" s="121">
        <f>COUNTIFS('Dupont  Olivier'!$A$3:$A$40,"=A")</f>
        <v>0</v>
      </c>
      <c r="O19" s="120">
        <f>VLOOKUP($C19,Rotations!$C$6:$G$37,3,FALSE)</f>
        <v>24</v>
      </c>
      <c r="P19" s="61">
        <f>IF(($D19="S"),IF(PARTICIPANTS!$E18="P",IF((Q19&gt;0),RANK(Q19,Q$3:Q$36)-SUMPRODUCT(($D$3:$D$36&lt;&gt;$D19)*(Q$3:Q$36&gt;Q19)),IF(($D19="s"),COUNTIFS($D$3:$D$36,"=S",Q$3:Q$36,"&gt;0"),COUNTIFS($D$3:$D$36,"=J",Q$3:Q$36,"&gt;0"))+PARTICIPANTS!$B$41),PARTICIPANTS!$B$39+PARTICIPANTS!$B$41 ),IF(PARTICIPANTS!$E18="P",IF((Q19&gt;0),RANK(Q19,Q$3:Q$36)-SUMPRODUCT(($D$3:$D$36&lt;&gt;$D19)*(Q$3:Q$36&gt;Q19)),IF(($D19="s"),COUNTIFS($D$3:$D$36,"=S",Q$3:Q$36,"&gt;0"),COUNTIFS($D$3:$D$36,"=J",Q$3:Q$36,"&gt;0"))+PARTICIPANTS!$E$41),PARTICIPANTS!$E$39+PARTICIPANTS!$E$41 ))</f>
        <v>46</v>
      </c>
      <c r="Q19" s="61">
        <f>(S19*200)+(T19*10)+R19</f>
        <v>0</v>
      </c>
      <c r="R19" s="61">
        <f>'Dupont  Olivier'!$D$41</f>
        <v>0</v>
      </c>
      <c r="S19" s="61">
        <f>COUNTIFS('Dupont  Olivier'!$C$3:$C$40,"=S")</f>
        <v>0</v>
      </c>
      <c r="T19" s="127">
        <f>COUNTIFS('Dupont  Olivier'!$C$3:$C$40,"=A")</f>
        <v>0</v>
      </c>
      <c r="U19" s="120">
        <f>VLOOKUP($C19,Rotations!$C$6:$G$37,4,FALSE)</f>
        <v>5</v>
      </c>
      <c r="V19" s="61">
        <f>IF(($D19="S"),IF(PARTICIPANTS!$E18="P",IF((W19&gt;0),RANK(W19,W$3:W$36)-SUMPRODUCT(($D$3:$D$36&lt;&gt;$D19)*(W$3:W$36&gt;W19)),IF(($D19="s"),COUNTIFS($D$3:$D$36,"=S",W$3:W$36,"&gt;0"),COUNTIFS($D$3:$D$36,"=J",W$3:W$36,"&gt;0"))+PARTICIPANTS!$B$41),PARTICIPANTS!$B$39+PARTICIPANTS!$B$41 ),IF(PARTICIPANTS!$E18="P",IF((W19&gt;0),RANK(W19,W$3:W$36)-SUMPRODUCT(($D$3:$D$36&lt;&gt;$D19)*(W$3:W$36&gt;W19)),IF(($D19="s"),COUNTIFS($D$3:$D$36,"=S",W$3:W$36,"&gt;0"),COUNTIFS($D$3:$D$36,"=J",W$3:W$36,"&gt;0"))+PARTICIPANTS!$E$41),PARTICIPANTS!$E$39+PARTICIPANTS!$E$41 ))</f>
        <v>46</v>
      </c>
      <c r="W19" s="61">
        <f>(Y19*200)+(Z19*20)+X19</f>
        <v>0</v>
      </c>
      <c r="X19" s="61">
        <f>'Dupont  Olivier'!$F$41</f>
        <v>0</v>
      </c>
      <c r="Y19" s="61">
        <f>COUNTIFS('Dupont  Olivier'!$E$3:$E$40,"=S")</f>
        <v>0</v>
      </c>
      <c r="Z19" s="127">
        <f>COUNTIFS('Dupont  Olivier'!$E$3:$E$40,"=A")</f>
        <v>0</v>
      </c>
      <c r="AA19" s="120">
        <f>VLOOKUP($C19,Rotations!$C$6:$G$37,5,FALSE)</f>
        <v>2</v>
      </c>
      <c r="AB19" s="61">
        <f>IF(($D19="S"),IF(PARTICIPANTS!$E18="P",IF((AC19&gt;0),RANK(AC19,AC$3:AC$36)-SUMPRODUCT(($D$3:$D$36&lt;&gt;$D19)*(AC$3:AC$36&gt;AC19)),IF(($D19="s"),COUNTIFS($D$3:$D$36,"=S",AC$3:AC$36,"&gt;0"),COUNTIFS($D$3:$D$36,"=J",AC$3:AC$36,"&gt;0"))+PARTICIPANTS!$B$41),PARTICIPANTS!$B$39+PARTICIPANTS!$B$41 ),IF(PARTICIPANTS!$E18="P",IF((AC19&gt;0),RANK(AC19,AC$3:AC$36)-SUMPRODUCT(($D$3:$D$36&lt;&gt;$D19)*(AC$3:AC$36&gt;AC19)),IF(($D19="s"),COUNTIFS($D$3:$D$36,"=S",AC$3:AC$36,"&gt;0"),COUNTIFS($D$3:$D$36,"=J",AC$3:AC$36,"&gt;0"))+PARTICIPANTS!$E$41),PARTICIPANTS!$E$39+PARTICIPANTS!$E$41 ))</f>
        <v>46</v>
      </c>
      <c r="AC19" s="61">
        <f>(AE19*200)+(AF19*20)+AD19</f>
        <v>0</v>
      </c>
      <c r="AD19" s="61">
        <f>'Dupont  Olivier'!$H$41</f>
        <v>0</v>
      </c>
      <c r="AE19" s="61">
        <f>COUNTIFS('Dupont  Olivier'!$G$3:$G$40,"=S")</f>
        <v>0</v>
      </c>
      <c r="AF19" s="127">
        <f>COUNTIFS('Dupont  Olivier'!$G$3:$G$40,"=A")</f>
        <v>0</v>
      </c>
    </row>
    <row r="20" spans="1:32" s="63" customFormat="1" ht="13.5" thickBot="1" x14ac:dyDescent="0.25">
      <c r="A20" s="64">
        <f>RANK(E20,$E$3:$E$36,1)</f>
        <v>25</v>
      </c>
      <c r="B20" s="65">
        <v>18</v>
      </c>
      <c r="C20" s="66" t="str">
        <f>VLOOKUP($B20,PARTICIPANTS!$B$1:$E$35,2,FALSE)</f>
        <v>Frison Fabian</v>
      </c>
      <c r="D20" s="66" t="str">
        <f>VLOOKUP($B20,PARTICIPANTS!$B$1:$E$35,3,FALSE)</f>
        <v>S</v>
      </c>
      <c r="E20" s="84">
        <f>SUM(J20,P20,V20,AB20)+F20</f>
        <v>90</v>
      </c>
      <c r="F20" s="67">
        <v>0</v>
      </c>
      <c r="G20" s="67">
        <f>K20+Q20+W20+AC20</f>
        <v>3312</v>
      </c>
      <c r="H20" s="109">
        <f>M20+N20+S20+T20+Y20+Z20+AE20+AF20</f>
        <v>7</v>
      </c>
      <c r="I20" s="120">
        <f>VLOOKUP($C20,Rotations!$C$6:$G$37,2,FALSE)</f>
        <v>18</v>
      </c>
      <c r="J20" s="61">
        <f>IF(($D20="S"),IF(PARTICIPANTS!$E19="P",IF((K20&gt;0),RANK(K20,K$3:K$36)-SUMPRODUCT(($D$3:$D$36&lt;&gt;$D20)*(K$3:K$36&gt;K20)),IF(($D20="s"),COUNTIFS($D$3:$D$36,"=S",K$3:K$36,"&gt;0"),COUNTIFS($D$3:$D$36,"=J",K$3:K$36,"&gt;0"))+PARTICIPANTS!$B$41),PARTICIPANTS!$B$39+PARTICIPANTS!$B$41 ),IF(PARTICIPANTS!$E19="P",IF((K20&gt;0),RANK(K20,K$3:K$27)-SUMPRODUCT(($D$3:$D$36&lt;&gt;$D20)*(K$3:K$36&gt;K20)),IF(($D20="s"),COUNTIFS($D$3:$D$36,"=S",K$3:K$27,"&gt;0"),COUNTIFS($D$3:$D$36,"=J",K$3:K$36,"&gt;0"))+PARTICIPANTS!$E$41),PARTICIPANTS!$E$39+PARTICIPANTS!$E$41 ))</f>
        <v>39</v>
      </c>
      <c r="K20" s="61">
        <f>(M20*200)+(N20*10)+L20</f>
        <v>0</v>
      </c>
      <c r="L20" s="61">
        <f>'Frison Fabian'!$B$41</f>
        <v>0</v>
      </c>
      <c r="M20" s="62">
        <f>COUNTIFS('Frison Fabian'!$A$3:$A$40,"=S")</f>
        <v>0</v>
      </c>
      <c r="N20" s="121">
        <f>COUNTIFS('Frison Fabian'!$A$3:$A$40,"=A")</f>
        <v>0</v>
      </c>
      <c r="O20" s="120">
        <f>VLOOKUP($C20,Rotations!$C$6:$G$37,3,FALSE)</f>
        <v>16</v>
      </c>
      <c r="P20" s="61">
        <f>IF(($D20="S"),IF(PARTICIPANTS!$E19="P",IF((Q20&gt;0),RANK(Q20,Q$3:Q$36)-SUMPRODUCT(($D$3:$D$36&lt;&gt;$D20)*(Q$3:Q$36&gt;Q20)),IF(($D20="s"),COUNTIFS($D$3:$D$36,"=S",Q$3:Q$36,"&gt;0"),COUNTIFS($D$3:$D$36,"=J",Q$3:Q$36,"&gt;0"))+PARTICIPANTS!$B$41),PARTICIPANTS!$B$39+PARTICIPANTS!$B$41 ),IF(PARTICIPANTS!$E19="P",IF((Q20&gt;0),RANK(Q20,Q$3:Q$36)-SUMPRODUCT(($D$3:$D$36&lt;&gt;$D20)*(Q$3:Q$36&gt;Q20)),IF(($D20="s"),COUNTIFS($D$3:$D$36,"=S",Q$3:Q$36,"&gt;0"),COUNTIFS($D$3:$D$36,"=J",Q$3:Q$36,"&gt;0"))+PARTICIPANTS!$E$41),PARTICIPANTS!$E$39+PARTICIPANTS!$E$41 ))</f>
        <v>11</v>
      </c>
      <c r="Q20" s="61">
        <f>(S20*200)+(T20*10)+R20</f>
        <v>1453</v>
      </c>
      <c r="R20" s="61">
        <f>'Frison Fabian'!$D$41</f>
        <v>853</v>
      </c>
      <c r="S20" s="61">
        <f>COUNTIFS('Frison Fabian'!$C$3:$C$40,"=S")</f>
        <v>3</v>
      </c>
      <c r="T20" s="127">
        <f>COUNTIFS('Frison Fabian'!$C$3:$C$40,"=A")</f>
        <v>0</v>
      </c>
      <c r="U20" s="120">
        <f>VLOOKUP($C20,Rotations!$C$6:$G$37,4,FALSE)</f>
        <v>2</v>
      </c>
      <c r="V20" s="61">
        <f>IF(($D20="S"),IF(PARTICIPANTS!$E19="P",IF((W20&gt;0),RANK(W20,W$3:W$36)-SUMPRODUCT(($D$3:$D$36&lt;&gt;$D20)*(W$3:W$36&gt;W20)),IF(($D20="s"),COUNTIFS($D$3:$D$36,"=S",W$3:W$36,"&gt;0"),COUNTIFS($D$3:$D$36,"=J",W$3:W$36,"&gt;0"))+PARTICIPANTS!$B$41),PARTICIPANTS!$B$39+PARTICIPANTS!$B$41 ),IF(PARTICIPANTS!$E19="P",IF((W20&gt;0),RANK(W20,W$3:W$36)-SUMPRODUCT(($D$3:$D$36&lt;&gt;$D20)*(W$3:W$36&gt;W20)),IF(($D20="s"),COUNTIFS($D$3:$D$36,"=S",W$3:W$36,"&gt;0"),COUNTIFS($D$3:$D$36,"=J",W$3:W$36,"&gt;0"))+PARTICIPANTS!$E$41),PARTICIPANTS!$E$39+PARTICIPANTS!$E$41 ))</f>
        <v>17</v>
      </c>
      <c r="W20" s="61">
        <f>(Y20*200)+(Z20*20)+X20</f>
        <v>1394</v>
      </c>
      <c r="X20" s="61">
        <f>'Frison Fabian'!$F$41</f>
        <v>794</v>
      </c>
      <c r="Y20" s="61">
        <f>COUNTIFS('Frison Fabian'!$E$3:$E$40,"=S")</f>
        <v>3</v>
      </c>
      <c r="Z20" s="127">
        <f>COUNTIFS('Frison Fabian'!$E$3:$E$40,"=A")</f>
        <v>0</v>
      </c>
      <c r="AA20" s="120">
        <f>VLOOKUP($C20,Rotations!$C$6:$G$37,5,FALSE)</f>
        <v>5</v>
      </c>
      <c r="AB20" s="61">
        <f>IF(($D20="S"),IF(PARTICIPANTS!$E19="P",IF((AC20&gt;0),RANK(AC20,AC$3:AC$36)-SUMPRODUCT(($D$3:$D$36&lt;&gt;$D20)*(AC$3:AC$36&gt;AC20)),IF(($D20="s"),COUNTIFS($D$3:$D$36,"=S",AC$3:AC$36,"&gt;0"),COUNTIFS($D$3:$D$36,"=J",AC$3:AC$36,"&gt;0"))+PARTICIPANTS!$B$41),PARTICIPANTS!$B$39+PARTICIPANTS!$B$41 ),IF(PARTICIPANTS!$E19="P",IF((AC20&gt;0),RANK(AC20,AC$3:AC$36)-SUMPRODUCT(($D$3:$D$36&lt;&gt;$D20)*(AC$3:AC$36&gt;AC20)),IF(($D20="s"),COUNTIFS($D$3:$D$36,"=S",AC$3:AC$36,"&gt;0"),COUNTIFS($D$3:$D$36,"=J",AC$3:AC$36,"&gt;0"))+PARTICIPANTS!$E$41),PARTICIPANTS!$E$39+PARTICIPANTS!$E$41 ))</f>
        <v>23</v>
      </c>
      <c r="AC20" s="61">
        <f>(AE20*200)+(AF20*20)+AD20</f>
        <v>465</v>
      </c>
      <c r="AD20" s="61">
        <f>'Frison Fabian'!$H$41</f>
        <v>265</v>
      </c>
      <c r="AE20" s="61">
        <f>COUNTIFS('Frison Fabian'!$G$3:$G$40,"=S")</f>
        <v>1</v>
      </c>
      <c r="AF20" s="127">
        <f>COUNTIFS('Frison Fabian'!$G$3:$G$40,"=A")</f>
        <v>0</v>
      </c>
    </row>
    <row r="21" spans="1:32" s="63" customFormat="1" ht="13.5" thickBot="1" x14ac:dyDescent="0.25">
      <c r="A21" s="64">
        <f>RANK(E21,$E$3:$E$36,1)</f>
        <v>26</v>
      </c>
      <c r="B21" s="65">
        <v>19</v>
      </c>
      <c r="C21" s="66" t="str">
        <f>VLOOKUP($B21,PARTICIPANTS!$B$1:$E$35,2,FALSE)</f>
        <v>Gigot Alain</v>
      </c>
      <c r="D21" s="66" t="str">
        <f>VLOOKUP($B21,PARTICIPANTS!$B$1:$E$35,3,FALSE)</f>
        <v>S</v>
      </c>
      <c r="E21" s="84">
        <f>SUM(J21,P21,V21,AB21)+F21</f>
        <v>92</v>
      </c>
      <c r="F21" s="67">
        <v>0</v>
      </c>
      <c r="G21" s="67">
        <f>K21+Q21+W21+AC21</f>
        <v>4855</v>
      </c>
      <c r="H21" s="109">
        <f>M21+N21+S21+T21+Y21+Z21+AE21+AF21</f>
        <v>10</v>
      </c>
      <c r="I21" s="120">
        <f>VLOOKUP($C21,Rotations!$C$6:$G$37,2,FALSE)</f>
        <v>17</v>
      </c>
      <c r="J21" s="61">
        <f>IF(($D21="S"),IF(PARTICIPANTS!$E20="P",IF((K21&gt;0),RANK(K21,K$3:K$36)-SUMPRODUCT(($D$3:$D$36&lt;&gt;$D21)*(K$3:K$36&gt;K21)),IF(($D21="s"),COUNTIFS($D$3:$D$36,"=S",K$3:K$36,"&gt;0"),COUNTIFS($D$3:$D$36,"=J",K$3:K$36,"&gt;0"))+PARTICIPANTS!$B$41),PARTICIPANTS!$B$39+PARTICIPANTS!$B$41 ),IF(PARTICIPANTS!$E20="P",IF((K21&gt;0),RANK(K21,K$3:K$27)-SUMPRODUCT(($D$3:$D$36&lt;&gt;$D21)*(K$3:K$36&gt;K21)),IF(($D21="s"),COUNTIFS($D$3:$D$36,"=S",K$3:K$27,"&gt;0"),COUNTIFS($D$3:$D$36,"=J",K$3:K$36,"&gt;0"))+PARTICIPANTS!$E$41),PARTICIPANTS!$E$39+PARTICIPANTS!$E$41 ))</f>
        <v>39</v>
      </c>
      <c r="K21" s="61">
        <f>(M21*200)+(N21*10)+L21</f>
        <v>0</v>
      </c>
      <c r="L21" s="61">
        <f>'Gigot Alain'!$B$41</f>
        <v>0</v>
      </c>
      <c r="M21" s="62">
        <f>COUNTIFS('Gigot Alain'!$A$3:$A$40,"=S")</f>
        <v>0</v>
      </c>
      <c r="N21" s="121">
        <f>COUNTIFS('Gigot Alain'!$A$3:$A$40,"=A")</f>
        <v>0</v>
      </c>
      <c r="O21" s="120">
        <f>VLOOKUP($C21,Rotations!$C$6:$G$37,3,FALSE)</f>
        <v>15</v>
      </c>
      <c r="P21" s="61">
        <f>IF(($D21="S"),IF(PARTICIPANTS!$E20="P",IF((Q21&gt;0),RANK(Q21,Q$3:Q$36)-SUMPRODUCT(($D$3:$D$36&lt;&gt;$D21)*(Q$3:Q$36&gt;Q21)),IF(($D21="s"),COUNTIFS($D$3:$D$36,"=S",Q$3:Q$36,"&gt;0"),COUNTIFS($D$3:$D$36,"=J",Q$3:Q$36,"&gt;0"))+PARTICIPANTS!$B$41),PARTICIPANTS!$B$39+PARTICIPANTS!$B$41 ),IF(PARTICIPANTS!$E20="P",IF((Q21&gt;0),RANK(Q21,Q$3:Q$36)-SUMPRODUCT(($D$3:$D$36&lt;&gt;$D21)*(Q$3:Q$36&gt;Q21)),IF(($D21="s"),COUNTIFS($D$3:$D$36,"=S",Q$3:Q$36,"&gt;0"),COUNTIFS($D$3:$D$36,"=J",Q$3:Q$36,"&gt;0"))+PARTICIPANTS!$E$41),PARTICIPANTS!$E$39+PARTICIPANTS!$E$41 ))</f>
        <v>38</v>
      </c>
      <c r="Q21" s="61">
        <f>(S21*200)+(T21*10)+R21</f>
        <v>0</v>
      </c>
      <c r="R21" s="61">
        <f>'Gigot Alain'!$D$41</f>
        <v>0</v>
      </c>
      <c r="S21" s="61">
        <f>COUNTIFS('Gigot Alain'!$C$3:$C$40,"=S")</f>
        <v>0</v>
      </c>
      <c r="T21" s="127">
        <f>COUNTIFS('Gigot Alain'!$C$3:$C$40,"=A")</f>
        <v>0</v>
      </c>
      <c r="U21" s="120">
        <f>VLOOKUP($C21,Rotations!$C$6:$G$37,4,FALSE)</f>
        <v>1</v>
      </c>
      <c r="V21" s="61">
        <f>IF(($D21="S"),IF(PARTICIPANTS!$E20="P",IF((W21&gt;0),RANK(W21,W$3:W$36)-SUMPRODUCT(($D$3:$D$36&lt;&gt;$D21)*(W$3:W$36&gt;W21)),IF(($D21="s"),COUNTIFS($D$3:$D$36,"=S",W$3:W$36,"&gt;0"),COUNTIFS($D$3:$D$36,"=J",W$3:W$36,"&gt;0"))+PARTICIPANTS!$B$41),PARTICIPANTS!$B$39+PARTICIPANTS!$B$41 ),IF(PARTICIPANTS!$E20="P",IF((W21&gt;0),RANK(W21,W$3:W$36)-SUMPRODUCT(($D$3:$D$36&lt;&gt;$D21)*(W$3:W$36&gt;W21)),IF(($D21="s"),COUNTIFS($D$3:$D$36,"=S",W$3:W$36,"&gt;0"),COUNTIFS($D$3:$D$36,"=J",W$3:W$36,"&gt;0"))+PARTICIPANTS!$E$41),PARTICIPANTS!$E$39+PARTICIPANTS!$E$41 ))</f>
        <v>5</v>
      </c>
      <c r="W21" s="61">
        <f>(Y21*200)+(Z21*20)+X21</f>
        <v>2988</v>
      </c>
      <c r="X21" s="61">
        <f>'Gigot Alain'!$F$41</f>
        <v>1788</v>
      </c>
      <c r="Y21" s="61">
        <f>COUNTIFS('Gigot Alain'!$E$3:$E$40,"=S")</f>
        <v>6</v>
      </c>
      <c r="Z21" s="127">
        <f>COUNTIFS('Gigot Alain'!$E$3:$E$40,"=A")</f>
        <v>0</v>
      </c>
      <c r="AA21" s="120">
        <f>VLOOKUP($C21,Rotations!$C$6:$G$37,5,FALSE)</f>
        <v>4</v>
      </c>
      <c r="AB21" s="61">
        <f>IF(($D21="S"),IF(PARTICIPANTS!$E20="P",IF((AC21&gt;0),RANK(AC21,AC$3:AC$36)-SUMPRODUCT(($D$3:$D$36&lt;&gt;$D21)*(AC$3:AC$36&gt;AC21)),IF(($D21="s"),COUNTIFS($D$3:$D$36,"=S",AC$3:AC$36,"&gt;0"),COUNTIFS($D$3:$D$36,"=J",AC$3:AC$36,"&gt;0"))+PARTICIPANTS!$B$41),PARTICIPANTS!$B$39+PARTICIPANTS!$B$41 ),IF(PARTICIPANTS!$E20="P",IF((AC21&gt;0),RANK(AC21,AC$3:AC$36)-SUMPRODUCT(($D$3:$D$36&lt;&gt;$D21)*(AC$3:AC$36&gt;AC21)),IF(($D21="s"),COUNTIFS($D$3:$D$36,"=S",AC$3:AC$36,"&gt;0"),COUNTIFS($D$3:$D$36,"=J",AC$3:AC$36,"&gt;0"))+PARTICIPANTS!$E$41),PARTICIPANTS!$E$39+PARTICIPANTS!$E$41 ))</f>
        <v>10</v>
      </c>
      <c r="AC21" s="61">
        <f>(AE21*200)+(AF21*20)+AD21</f>
        <v>1867</v>
      </c>
      <c r="AD21" s="61">
        <f>'Gigot Alain'!$H$41</f>
        <v>1067</v>
      </c>
      <c r="AE21" s="61">
        <f>COUNTIFS('Gigot Alain'!$G$3:$G$40,"=S")</f>
        <v>4</v>
      </c>
      <c r="AF21" s="127">
        <f>COUNTIFS('Gigot Alain'!$G$3:$G$40,"=A")</f>
        <v>0</v>
      </c>
    </row>
    <row r="22" spans="1:32" s="63" customFormat="1" ht="13.5" thickBot="1" x14ac:dyDescent="0.25">
      <c r="A22" s="64">
        <f>RANK(E22,$E$3:$E$36,1)</f>
        <v>18</v>
      </c>
      <c r="B22" s="65">
        <v>20</v>
      </c>
      <c r="C22" s="66" t="str">
        <f>VLOOKUP($B22,PARTICIPANTS!$B$1:$E$35,2,FALSE)</f>
        <v>Habran Jérémy</v>
      </c>
      <c r="D22" s="66" t="str">
        <f>VLOOKUP($B22,PARTICIPANTS!$B$1:$E$35,3,FALSE)</f>
        <v>S</v>
      </c>
      <c r="E22" s="84">
        <f>SUM(J22,P22,V22,AB22)+F22</f>
        <v>77</v>
      </c>
      <c r="F22" s="67">
        <v>0</v>
      </c>
      <c r="G22" s="67">
        <f>K22+Q22+W22+AC22</f>
        <v>5060</v>
      </c>
      <c r="H22" s="109">
        <f>M22+N22+S22+T22+Y22+Z22+AE22+AF22</f>
        <v>11</v>
      </c>
      <c r="I22" s="120">
        <f>VLOOKUP($C22,Rotations!$C$6:$G$37,2,FALSE)</f>
        <v>26</v>
      </c>
      <c r="J22" s="61">
        <f>IF(($D22="S"),IF(PARTICIPANTS!$E21="P",IF((K22&gt;0),RANK(K22,K$3:K$36)-SUMPRODUCT(($D$3:$D$36&lt;&gt;$D22)*(K$3:K$36&gt;K22)),IF(($D22="s"),COUNTIFS($D$3:$D$36,"=S",K$3:K$36,"&gt;0"),COUNTIFS($D$3:$D$36,"=J",K$3:K$36,"&gt;0"))+PARTICIPANTS!$B$41),PARTICIPANTS!$B$39+PARTICIPANTS!$B$41 ),IF(PARTICIPANTS!$E21="P",IF((K22&gt;0),RANK(K22,K$3:K$27)-SUMPRODUCT(($D$3:$D$36&lt;&gt;$D22)*(K$3:K$36&gt;K22)),IF(($D22="s"),COUNTIFS($D$3:$D$36,"=S",K$3:K$27,"&gt;0"),COUNTIFS($D$3:$D$36,"=J",K$3:K$36,"&gt;0"))+PARTICIPANTS!$E$41),PARTICIPANTS!$E$39+PARTICIPANTS!$E$41 ))</f>
        <v>13</v>
      </c>
      <c r="K22" s="61">
        <f>(M22*200)+(N22*10)+L22</f>
        <v>1967</v>
      </c>
      <c r="L22" s="61">
        <f>'Habran Jérémy'!$B$41</f>
        <v>1167</v>
      </c>
      <c r="M22" s="62">
        <f>COUNTIFS('Habran Jérémy'!$A$3:$A$40,"=S")</f>
        <v>4</v>
      </c>
      <c r="N22" s="121">
        <f>COUNTIFS('Habran Jérémy'!$A$3:$A$40,"=A")</f>
        <v>0</v>
      </c>
      <c r="O22" s="120">
        <f>VLOOKUP($C22,Rotations!$C$6:$G$37,3,FALSE)</f>
        <v>30</v>
      </c>
      <c r="P22" s="61">
        <f>IF(($D22="S"),IF(PARTICIPANTS!$E21="P",IF((Q22&gt;0),RANK(Q22,Q$3:Q$36)-SUMPRODUCT(($D$3:$D$36&lt;&gt;$D22)*(Q$3:Q$36&gt;Q22)),IF(($D22="s"),COUNTIFS($D$3:$D$36,"=S",Q$3:Q$36,"&gt;0"),COUNTIFS($D$3:$D$36,"=J",Q$3:Q$36,"&gt;0"))+PARTICIPANTS!$B$41),PARTICIPANTS!$B$39+PARTICIPANTS!$B$41 ),IF(PARTICIPANTS!$E21="P",IF((Q22&gt;0),RANK(Q22,Q$3:Q$36)-SUMPRODUCT(($D$3:$D$36&lt;&gt;$D22)*(Q$3:Q$36&gt;Q22)),IF(($D22="s"),COUNTIFS($D$3:$D$36,"=S",Q$3:Q$36,"&gt;0"),COUNTIFS($D$3:$D$36,"=J",Q$3:Q$36,"&gt;0"))+PARTICIPANTS!$E$41),PARTICIPANTS!$E$39+PARTICIPANTS!$E$41 ))</f>
        <v>12</v>
      </c>
      <c r="Q22" s="61">
        <f>(S22*200)+(T22*10)+R22</f>
        <v>1424</v>
      </c>
      <c r="R22" s="61">
        <f>'Habran Jérémy'!$D$41</f>
        <v>824</v>
      </c>
      <c r="S22" s="61">
        <f>COUNTIFS('Habran Jérémy'!$C$3:$C$40,"=S")</f>
        <v>3</v>
      </c>
      <c r="T22" s="127">
        <f>COUNTIFS('Habran Jérémy'!$C$3:$C$40,"=A")</f>
        <v>0</v>
      </c>
      <c r="U22" s="120">
        <f>VLOOKUP($C22,Rotations!$C$6:$G$37,4,FALSE)</f>
        <v>10</v>
      </c>
      <c r="V22" s="61">
        <f>IF(($D22="S"),IF(PARTICIPANTS!$E21="P",IF((W22&gt;0),RANK(W22,W$3:W$36)-SUMPRODUCT(($D$3:$D$36&lt;&gt;$D22)*(W$3:W$36&gt;W22)),IF(($D22="s"),COUNTIFS($D$3:$D$36,"=S",W$3:W$36,"&gt;0"),COUNTIFS($D$3:$D$36,"=J",W$3:W$36,"&gt;0"))+PARTICIPANTS!$B$41),PARTICIPANTS!$B$39+PARTICIPANTS!$B$41 ),IF(PARTICIPANTS!$E21="P",IF((W22&gt;0),RANK(W22,W$3:W$36)-SUMPRODUCT(($D$3:$D$36&lt;&gt;$D22)*(W$3:W$36&gt;W22)),IF(($D22="s"),COUNTIFS($D$3:$D$36,"=S",W$3:W$36,"&gt;0"),COUNTIFS($D$3:$D$36,"=J",W$3:W$36,"&gt;0"))+PARTICIPANTS!$E$41),PARTICIPANTS!$E$39+PARTICIPANTS!$E$41 ))</f>
        <v>12</v>
      </c>
      <c r="W22" s="61">
        <f>(Y22*200)+(Z22*20)+X22</f>
        <v>1669</v>
      </c>
      <c r="X22" s="61">
        <f>'Habran Jérémy'!$F$41</f>
        <v>869</v>
      </c>
      <c r="Y22" s="61">
        <f>COUNTIFS('Habran Jérémy'!$E$3:$E$40,"=S")</f>
        <v>4</v>
      </c>
      <c r="Z22" s="127">
        <f>COUNTIFS('Habran Jérémy'!$E$3:$E$40,"=A")</f>
        <v>0</v>
      </c>
      <c r="AA22" s="120">
        <f>VLOOKUP($C22,Rotations!$C$6:$G$37,5,FALSE)</f>
        <v>8</v>
      </c>
      <c r="AB22" s="61">
        <f>IF(($D22="S"),IF(PARTICIPANTS!$E21="P",IF((AC22&gt;0),RANK(AC22,AC$3:AC$36)-SUMPRODUCT(($D$3:$D$36&lt;&gt;$D22)*(AC$3:AC$36&gt;AC22)),IF(($D22="s"),COUNTIFS($D$3:$D$36,"=S",AC$3:AC$36,"&gt;0"),COUNTIFS($D$3:$D$36,"=J",AC$3:AC$36,"&gt;0"))+PARTICIPANTS!$B$41),PARTICIPANTS!$B$39+PARTICIPANTS!$B$41 ),IF(PARTICIPANTS!$E21="P",IF((AC22&gt;0),RANK(AC22,AC$3:AC$36)-SUMPRODUCT(($D$3:$D$36&lt;&gt;$D22)*(AC$3:AC$36&gt;AC22)),IF(($D22="s"),COUNTIFS($D$3:$D$36,"=S",AC$3:AC$36,"&gt;0"),COUNTIFS($D$3:$D$36,"=J",AC$3:AC$36,"&gt;0"))+PARTICIPANTS!$E$41),PARTICIPANTS!$E$39+PARTICIPANTS!$E$41 ))</f>
        <v>40</v>
      </c>
      <c r="AC22" s="61">
        <f>(AE22*200)+(AF22*20)+AD22</f>
        <v>0</v>
      </c>
      <c r="AD22" s="61">
        <f>'Habran Jérémy'!$H$41</f>
        <v>0</v>
      </c>
      <c r="AE22" s="61">
        <f>COUNTIFS('Habran Jérémy'!$G$3:$G$40,"=S")</f>
        <v>0</v>
      </c>
      <c r="AF22" s="127">
        <f>COUNTIFS('Habran Jérémy'!$G$3:$G$40,"=A")</f>
        <v>0</v>
      </c>
    </row>
    <row r="23" spans="1:32" s="63" customFormat="1" ht="13.5" thickBot="1" x14ac:dyDescent="0.25">
      <c r="A23" s="64">
        <f>RANK(E23,$E$3:$E$36,1)</f>
        <v>31</v>
      </c>
      <c r="B23" s="65">
        <v>21</v>
      </c>
      <c r="C23" s="66" t="str">
        <f>VLOOKUP($B23,PARTICIPANTS!$B$1:$E$35,2,FALSE)</f>
        <v>Henrottin  Christian</v>
      </c>
      <c r="D23" s="66" t="str">
        <f>VLOOKUP($B23,PARTICIPANTS!$B$1:$E$35,3,FALSE)</f>
        <v>S</v>
      </c>
      <c r="E23" s="84">
        <f>SUM(J23,P23,V23,AB23)+F23</f>
        <v>119</v>
      </c>
      <c r="F23" s="67">
        <v>0</v>
      </c>
      <c r="G23" s="67">
        <f>K23+Q23+W23+AC23</f>
        <v>1296</v>
      </c>
      <c r="H23" s="109">
        <f>M23+N23+S23+T23+Y23+Z23+AE23+AF23</f>
        <v>3</v>
      </c>
      <c r="I23" s="120">
        <f>VLOOKUP($C23,Rotations!$C$6:$G$37,2,FALSE)</f>
        <v>22</v>
      </c>
      <c r="J23" s="61">
        <f>IF(($D23="S"),IF(PARTICIPANTS!$E22="P",IF((K23&gt;0),RANK(K23,K$3:K$36)-SUMPRODUCT(($D$3:$D$36&lt;&gt;$D23)*(K$3:K$36&gt;K23)),IF(($D23="s"),COUNTIFS($D$3:$D$36,"=S",K$3:K$36,"&gt;0"),COUNTIFS($D$3:$D$36,"=J",K$3:K$36,"&gt;0"))+PARTICIPANTS!$B$41),PARTICIPANTS!$B$39+PARTICIPANTS!$B$41 ),IF(PARTICIPANTS!$E22="P",IF((K23&gt;0),RANK(K23,K$3:K$27)-SUMPRODUCT(($D$3:$D$36&lt;&gt;$D23)*(K$3:K$36&gt;K23)),IF(($D23="s"),COUNTIFS($D$3:$D$36,"=S",K$3:K$27,"&gt;0"),COUNTIFS($D$3:$D$36,"=J",K$3:K$36,"&gt;0"))+PARTICIPANTS!$E$41),PARTICIPANTS!$E$39+PARTICIPANTS!$E$41 ))</f>
        <v>25</v>
      </c>
      <c r="K23" s="61">
        <f>(M23*200)+(N23*10)+L23</f>
        <v>477</v>
      </c>
      <c r="L23" s="61">
        <f>'Henrottin  Christian'!$B$41</f>
        <v>277</v>
      </c>
      <c r="M23" s="62">
        <f>COUNTIFS('Henrottin  Christian'!$A$3:$A$40,"=S")</f>
        <v>1</v>
      </c>
      <c r="N23" s="121">
        <f>COUNTIFS('Henrottin  Christian'!$A$3:$A$40,"=A")</f>
        <v>0</v>
      </c>
      <c r="O23" s="120">
        <f>VLOOKUP($C23,Rotations!$C$6:$G$37,3,FALSE)</f>
        <v>19</v>
      </c>
      <c r="P23" s="61">
        <f>IF(($D23="S"),IF(PARTICIPANTS!$E22="P",IF((Q23&gt;0),RANK(Q23,Q$3:Q$36)-SUMPRODUCT(($D$3:$D$36&lt;&gt;$D23)*(Q$3:Q$36&gt;Q23)),IF(($D23="s"),COUNTIFS($D$3:$D$36,"=S",Q$3:Q$36,"&gt;0"),COUNTIFS($D$3:$D$36,"=J",Q$3:Q$36,"&gt;0"))+PARTICIPANTS!$B$41),PARTICIPANTS!$B$39+PARTICIPANTS!$B$41 ),IF(PARTICIPANTS!$E22="P",IF((Q23&gt;0),RANK(Q23,Q$3:Q$36)-SUMPRODUCT(($D$3:$D$36&lt;&gt;$D23)*(Q$3:Q$36&gt;Q23)),IF(($D23="s"),COUNTIFS($D$3:$D$36,"=S",Q$3:Q$36,"&gt;0"),COUNTIFS($D$3:$D$36,"=J",Q$3:Q$36,"&gt;0"))+PARTICIPANTS!$E$41),PARTICIPANTS!$E$39+PARTICIPANTS!$E$41 ))</f>
        <v>26</v>
      </c>
      <c r="Q23" s="61">
        <f>(S23*200)+(T23*10)+R23</f>
        <v>415</v>
      </c>
      <c r="R23" s="61">
        <f>'Henrottin  Christian'!$D$41</f>
        <v>215</v>
      </c>
      <c r="S23" s="61">
        <f>COUNTIFS('Henrottin  Christian'!$C$3:$C$40,"=S")</f>
        <v>1</v>
      </c>
      <c r="T23" s="127">
        <f>COUNTIFS('Henrottin  Christian'!$C$3:$C$40,"=A")</f>
        <v>0</v>
      </c>
      <c r="U23" s="120">
        <f>VLOOKUP($C23,Rotations!$C$6:$G$37,4,FALSE)</f>
        <v>6</v>
      </c>
      <c r="V23" s="61">
        <f>IF(($D23="S"),IF(PARTICIPANTS!$E22="P",IF((W23&gt;0),RANK(W23,W$3:W$36)-SUMPRODUCT(($D$3:$D$36&lt;&gt;$D23)*(W$3:W$36&gt;W23)),IF(($D23="s"),COUNTIFS($D$3:$D$36,"=S",W$3:W$36,"&gt;0"),COUNTIFS($D$3:$D$36,"=J",W$3:W$36,"&gt;0"))+PARTICIPANTS!$B$41),PARTICIPANTS!$B$39+PARTICIPANTS!$B$41 ),IF(PARTICIPANTS!$E22="P",IF((W23&gt;0),RANK(W23,W$3:W$36)-SUMPRODUCT(($D$3:$D$36&lt;&gt;$D23)*(W$3:W$36&gt;W23)),IF(($D23="s"),COUNTIFS($D$3:$D$36,"=S",W$3:W$36,"&gt;0"),COUNTIFS($D$3:$D$36,"=J",W$3:W$36,"&gt;0"))+PARTICIPANTS!$E$41),PARTICIPANTS!$E$39+PARTICIPANTS!$E$41 ))</f>
        <v>41</v>
      </c>
      <c r="W23" s="61">
        <f>(Y23*200)+(Z23*20)+X23</f>
        <v>0</v>
      </c>
      <c r="X23" s="61">
        <f>'Henrottin  Christian'!$F$41</f>
        <v>0</v>
      </c>
      <c r="Y23" s="61">
        <f>COUNTIFS('Henrottin  Christian'!$E$3:$E$40,"=S")</f>
        <v>0</v>
      </c>
      <c r="Z23" s="127">
        <f>COUNTIFS('Henrottin  Christian'!$E$3:$E$40,"=A")</f>
        <v>0</v>
      </c>
      <c r="AA23" s="120">
        <f>VLOOKUP($C23,Rotations!$C$6:$G$37,5,FALSE)</f>
        <v>3</v>
      </c>
      <c r="AB23" s="61">
        <f>IF(($D23="S"),IF(PARTICIPANTS!$E22="P",IF((AC23&gt;0),RANK(AC23,AC$3:AC$36)-SUMPRODUCT(($D$3:$D$36&lt;&gt;$D23)*(AC$3:AC$36&gt;AC23)),IF(($D23="s"),COUNTIFS($D$3:$D$36,"=S",AC$3:AC$36,"&gt;0"),COUNTIFS($D$3:$D$36,"=J",AC$3:AC$36,"&gt;0"))+PARTICIPANTS!$B$41),PARTICIPANTS!$B$39+PARTICIPANTS!$B$41 ),IF(PARTICIPANTS!$E22="P",IF((AC23&gt;0),RANK(AC23,AC$3:AC$36)-SUMPRODUCT(($D$3:$D$36&lt;&gt;$D23)*(AC$3:AC$36&gt;AC23)),IF(($D23="s"),COUNTIFS($D$3:$D$36,"=S",AC$3:AC$36,"&gt;0"),COUNTIFS($D$3:$D$36,"=J",AC$3:AC$36,"&gt;0"))+PARTICIPANTS!$E$41),PARTICIPANTS!$E$39+PARTICIPANTS!$E$41 ))</f>
        <v>27</v>
      </c>
      <c r="AC23" s="61">
        <f>(AE23*200)+(AF23*20)+AD23</f>
        <v>404</v>
      </c>
      <c r="AD23" s="61">
        <f>'Henrottin  Christian'!$H$41</f>
        <v>204</v>
      </c>
      <c r="AE23" s="61">
        <f>COUNTIFS('Henrottin  Christian'!$G$3:$G$40,"=S")</f>
        <v>1</v>
      </c>
      <c r="AF23" s="127">
        <f>COUNTIFS('Henrottin  Christian'!$G$3:$G$40,"=A")</f>
        <v>0</v>
      </c>
    </row>
    <row r="24" spans="1:32" s="63" customFormat="1" ht="13.5" thickBot="1" x14ac:dyDescent="0.25">
      <c r="A24" s="64">
        <f>RANK(E24,$E$3:$E$36,1)</f>
        <v>29</v>
      </c>
      <c r="B24" s="65">
        <v>22</v>
      </c>
      <c r="C24" s="66" t="str">
        <f>VLOOKUP($B24,PARTICIPANTS!$B$1:$E$35,2,FALSE)</f>
        <v>Hockers  Thierry</v>
      </c>
      <c r="D24" s="66" t="str">
        <f>VLOOKUP($B24,PARTICIPANTS!$B$1:$E$35,3,FALSE)</f>
        <v>S</v>
      </c>
      <c r="E24" s="84">
        <f>SUM(J24,P24,V24,AB24)+F24</f>
        <v>104</v>
      </c>
      <c r="F24" s="67">
        <v>0</v>
      </c>
      <c r="G24" s="67">
        <f>K24+Q24+W24+AC24</f>
        <v>2258</v>
      </c>
      <c r="H24" s="109">
        <f>M24+N24+S24+T24+Y24+Z24+AE24+AF24</f>
        <v>5</v>
      </c>
      <c r="I24" s="120">
        <f>VLOOKUP($C24,Rotations!$C$6:$G$37,2,FALSE)</f>
        <v>4</v>
      </c>
      <c r="J24" s="61">
        <f>IF(($D24="S"),IF(PARTICIPANTS!$E23="P",IF((K24&gt;0),RANK(K24,K$3:K$36)-SUMPRODUCT(($D$3:$D$36&lt;&gt;$D24)*(K$3:K$36&gt;K24)),IF(($D24="s"),COUNTIFS($D$3:$D$36,"=S",K$3:K$36,"&gt;0"),COUNTIFS($D$3:$D$36,"=J",K$3:K$36,"&gt;0"))+PARTICIPANTS!$B$41),PARTICIPANTS!$B$39+PARTICIPANTS!$B$41 ),IF(PARTICIPANTS!$E23="P",IF((K24&gt;0),RANK(K24,K$3:K$27)-SUMPRODUCT(($D$3:$D$36&lt;&gt;$D24)*(K$3:K$36&gt;K24)),IF(($D24="s"),COUNTIFS($D$3:$D$36,"=S",K$3:K$27,"&gt;0"),COUNTIFS($D$3:$D$36,"=J",K$3:K$36,"&gt;0"))+PARTICIPANTS!$E$41),PARTICIPANTS!$E$39+PARTICIPANTS!$E$41 ))</f>
        <v>39</v>
      </c>
      <c r="K24" s="61">
        <f>(M24*200)+(N24*10)+L24</f>
        <v>0</v>
      </c>
      <c r="L24" s="61">
        <f>'Hockers  Thierry'!$B$41</f>
        <v>0</v>
      </c>
      <c r="M24" s="62">
        <f>COUNTIFS('Hockers  Thierry'!$A$3:$A$40,"=S")</f>
        <v>0</v>
      </c>
      <c r="N24" s="121">
        <f>COUNTIFS('Hockers  Thierry'!$A$3:$A$40,"=A")</f>
        <v>0</v>
      </c>
      <c r="O24" s="120">
        <f>VLOOKUP($C24,Rotations!$C$6:$G$37,3,FALSE)</f>
        <v>1</v>
      </c>
      <c r="P24" s="61">
        <f>IF(($D24="S"),IF(PARTICIPANTS!$E23="P",IF((Q24&gt;0),RANK(Q24,Q$3:Q$36)-SUMPRODUCT(($D$3:$D$36&lt;&gt;$D24)*(Q$3:Q$36&gt;Q24)),IF(($D24="s"),COUNTIFS($D$3:$D$36,"=S",Q$3:Q$36,"&gt;0"),COUNTIFS($D$3:$D$36,"=J",Q$3:Q$36,"&gt;0"))+PARTICIPANTS!$B$41),PARTICIPANTS!$B$39+PARTICIPANTS!$B$41 ),IF(PARTICIPANTS!$E23="P",IF((Q24&gt;0),RANK(Q24,Q$3:Q$36)-SUMPRODUCT(($D$3:$D$36&lt;&gt;$D24)*(Q$3:Q$36&gt;Q24)),IF(($D24="s"),COUNTIFS($D$3:$D$36,"=S",Q$3:Q$36,"&gt;0"),COUNTIFS($D$3:$D$36,"=J",Q$3:Q$36,"&gt;0"))+PARTICIPANTS!$E$41),PARTICIPANTS!$E$39+PARTICIPANTS!$E$41 ))</f>
        <v>21</v>
      </c>
      <c r="Q24" s="61">
        <f>(S24*200)+(T24*10)+R24</f>
        <v>857</v>
      </c>
      <c r="R24" s="61">
        <f>'Hockers  Thierry'!$D$41</f>
        <v>457</v>
      </c>
      <c r="S24" s="61">
        <f>COUNTIFS('Hockers  Thierry'!$C$3:$C$40,"=S")</f>
        <v>2</v>
      </c>
      <c r="T24" s="127">
        <f>COUNTIFS('Hockers  Thierry'!$C$3:$C$40,"=A")</f>
        <v>0</v>
      </c>
      <c r="U24" s="120">
        <f>VLOOKUP($C24,Rotations!$C$6:$G$37,4,FALSE)</f>
        <v>20</v>
      </c>
      <c r="V24" s="61">
        <f>IF(($D24="S"),IF(PARTICIPANTS!$E23="P",IF((W24&gt;0),RANK(W24,W$3:W$36)-SUMPRODUCT(($D$3:$D$36&lt;&gt;$D24)*(W$3:W$36&gt;W24)),IF(($D24="s"),COUNTIFS($D$3:$D$36,"=S",W$3:W$36,"&gt;0"),COUNTIFS($D$3:$D$36,"=J",W$3:W$36,"&gt;0"))+PARTICIPANTS!$B$41),PARTICIPANTS!$B$39+PARTICIPANTS!$B$41 ),IF(PARTICIPANTS!$E23="P",IF((W24&gt;0),RANK(W24,W$3:W$36)-SUMPRODUCT(($D$3:$D$36&lt;&gt;$D24)*(W$3:W$36&gt;W24)),IF(($D24="s"),COUNTIFS($D$3:$D$36,"=S",W$3:W$36,"&gt;0"),COUNTIFS($D$3:$D$36,"=J",W$3:W$36,"&gt;0"))+PARTICIPANTS!$E$41),PARTICIPANTS!$E$39+PARTICIPANTS!$E$41 ))</f>
        <v>19</v>
      </c>
      <c r="W24" s="61">
        <f>(Y24*200)+(Z24*20)+X24</f>
        <v>951</v>
      </c>
      <c r="X24" s="61">
        <f>'Hockers  Thierry'!$F$41</f>
        <v>551</v>
      </c>
      <c r="Y24" s="61">
        <f>COUNTIFS('Hockers  Thierry'!$E$3:$E$40,"=S")</f>
        <v>2</v>
      </c>
      <c r="Z24" s="127">
        <f>COUNTIFS('Hockers  Thierry'!$E$3:$E$40,"=A")</f>
        <v>0</v>
      </c>
      <c r="AA24" s="120">
        <f>VLOOKUP($C24,Rotations!$C$6:$G$37,5,FALSE)</f>
        <v>23</v>
      </c>
      <c r="AB24" s="61">
        <f>IF(($D24="S"),IF(PARTICIPANTS!$E23="P",IF((AC24&gt;0),RANK(AC24,AC$3:AC$36)-SUMPRODUCT(($D$3:$D$36&lt;&gt;$D24)*(AC$3:AC$36&gt;AC24)),IF(($D24="s"),COUNTIFS($D$3:$D$36,"=S",AC$3:AC$36,"&gt;0"),COUNTIFS($D$3:$D$36,"=J",AC$3:AC$36,"&gt;0"))+PARTICIPANTS!$B$41),PARTICIPANTS!$B$39+PARTICIPANTS!$B$41 ),IF(PARTICIPANTS!$E23="P",IF((AC24&gt;0),RANK(AC24,AC$3:AC$36)-SUMPRODUCT(($D$3:$D$36&lt;&gt;$D24)*(AC$3:AC$36&gt;AC24)),IF(($D24="s"),COUNTIFS($D$3:$D$36,"=S",AC$3:AC$36,"&gt;0"),COUNTIFS($D$3:$D$36,"=J",AC$3:AC$36,"&gt;0"))+PARTICIPANTS!$E$41),PARTICIPANTS!$E$39+PARTICIPANTS!$E$41 ))</f>
        <v>25</v>
      </c>
      <c r="AC24" s="61">
        <f>(AE24*200)+(AF24*20)+AD24</f>
        <v>450</v>
      </c>
      <c r="AD24" s="61">
        <f>'Hockers  Thierry'!$H$41</f>
        <v>250</v>
      </c>
      <c r="AE24" s="61">
        <f>COUNTIFS('Hockers  Thierry'!$G$3:$G$40,"=S")</f>
        <v>1</v>
      </c>
      <c r="AF24" s="127">
        <f>COUNTIFS('Hockers  Thierry'!$G$3:$G$40,"=A")</f>
        <v>0</v>
      </c>
    </row>
    <row r="25" spans="1:32" s="63" customFormat="1" ht="13.5" thickBot="1" x14ac:dyDescent="0.25">
      <c r="A25" s="64">
        <f>RANK(E25,$E$3:$E$36,1)</f>
        <v>32</v>
      </c>
      <c r="B25" s="65">
        <v>23</v>
      </c>
      <c r="C25" s="66" t="str">
        <f>VLOOKUP($B25,PARTICIPANTS!$B$1:$E$35,2,FALSE)</f>
        <v>Jacques Romain</v>
      </c>
      <c r="D25" s="66" t="str">
        <f>VLOOKUP($B25,PARTICIPANTS!$B$1:$E$35,3,FALSE)</f>
        <v>S</v>
      </c>
      <c r="E25" s="84">
        <f>SUM(J25,P25,V25,AB25)+F25</f>
        <v>184</v>
      </c>
      <c r="F25" s="67">
        <v>0</v>
      </c>
      <c r="G25" s="67">
        <f>K25+Q25+W25+AC25</f>
        <v>0</v>
      </c>
      <c r="H25" s="109">
        <f>M25+N25+S25+T25+Y25+Z25+AE25+AF25</f>
        <v>0</v>
      </c>
      <c r="I25" s="120" t="e">
        <f>VLOOKUP($C25,Rotations!$C$6:$G$37,2,FALSE)</f>
        <v>#N/A</v>
      </c>
      <c r="J25" s="61">
        <f>IF(($D25="S"),IF(PARTICIPANTS!$E24="P",IF((K25&gt;0),RANK(K25,K$3:K$36)-SUMPRODUCT(($D$3:$D$36&lt;&gt;$D25)*(K$3:K$36&gt;K25)),IF(($D25="s"),COUNTIFS($D$3:$D$36,"=S",K$3:K$36,"&gt;0"),COUNTIFS($D$3:$D$36,"=J",K$3:K$36,"&gt;0"))+PARTICIPANTS!$B$41),PARTICIPANTS!$B$39+PARTICIPANTS!$B$41 ),IF(PARTICIPANTS!$E24="P",IF((K25&gt;0),RANK(K25,K$3:K$27)-SUMPRODUCT(($D$3:$D$36&lt;&gt;$D25)*(K$3:K$36&gt;K25)),IF(($D25="s"),COUNTIFS($D$3:$D$36,"=S",K$3:K$27,"&gt;0"),COUNTIFS($D$3:$D$36,"=J",K$3:K$36,"&gt;0"))+PARTICIPANTS!$E$41),PARTICIPANTS!$E$39+PARTICIPANTS!$E$41 ))</f>
        <v>46</v>
      </c>
      <c r="K25" s="61">
        <f>(M25*200)+(N25*10)+L25</f>
        <v>0</v>
      </c>
      <c r="L25" s="61">
        <f>'Jacques Romain'!$B$41</f>
        <v>0</v>
      </c>
      <c r="M25" s="62">
        <f>COUNTIFS('Jacques Romain'!$A$3:$A$40,"=S")</f>
        <v>0</v>
      </c>
      <c r="N25" s="121">
        <f>COUNTIFS('Jacques Romain'!$A$3:$A$40,"=A")</f>
        <v>0</v>
      </c>
      <c r="O25" s="120" t="e">
        <f>VLOOKUP($C25,Rotations!$C$6:$G$37,3,FALSE)</f>
        <v>#N/A</v>
      </c>
      <c r="P25" s="61">
        <f>IF(($D25="S"),IF(PARTICIPANTS!$E24="P",IF((Q25&gt;0),RANK(Q25,Q$3:Q$36)-SUMPRODUCT(($D$3:$D$36&lt;&gt;$D25)*(Q$3:Q$36&gt;Q25)),IF(($D25="s"),COUNTIFS($D$3:$D$36,"=S",Q$3:Q$36,"&gt;0"),COUNTIFS($D$3:$D$36,"=J",Q$3:Q$36,"&gt;0"))+PARTICIPANTS!$B$41),PARTICIPANTS!$B$39+PARTICIPANTS!$B$41 ),IF(PARTICIPANTS!$E24="P",IF((Q25&gt;0),RANK(Q25,Q$3:Q$36)-SUMPRODUCT(($D$3:$D$36&lt;&gt;$D25)*(Q$3:Q$36&gt;Q25)),IF(($D25="s"),COUNTIFS($D$3:$D$36,"=S",Q$3:Q$36,"&gt;0"),COUNTIFS($D$3:$D$36,"=J",Q$3:Q$36,"&gt;0"))+PARTICIPANTS!$E$41),PARTICIPANTS!$E$39+PARTICIPANTS!$E$41 ))</f>
        <v>46</v>
      </c>
      <c r="Q25" s="61">
        <f>(S25*200)+(T25*10)+R25</f>
        <v>0</v>
      </c>
      <c r="R25" s="61">
        <f>'Jacques Romain'!$D$41</f>
        <v>0</v>
      </c>
      <c r="S25" s="61">
        <f>COUNTIFS('Jacques Romain'!$C$3:$C$40,"=S")</f>
        <v>0</v>
      </c>
      <c r="T25" s="127">
        <f>COUNTIFS('Jacques Romain'!$C$3:$C$40,"=A")</f>
        <v>0</v>
      </c>
      <c r="U25" s="120" t="e">
        <f>VLOOKUP($C25,Rotations!$C$6:$G$37,4,FALSE)</f>
        <v>#N/A</v>
      </c>
      <c r="V25" s="61">
        <f>IF(($D25="S"),IF(PARTICIPANTS!$E24="P",IF((W25&gt;0),RANK(W25,W$3:W$36)-SUMPRODUCT(($D$3:$D$36&lt;&gt;$D25)*(W$3:W$36&gt;W25)),IF(($D25="s"),COUNTIFS($D$3:$D$36,"=S",W$3:W$36,"&gt;0"),COUNTIFS($D$3:$D$36,"=J",W$3:W$36,"&gt;0"))+PARTICIPANTS!$B$41),PARTICIPANTS!$B$39+PARTICIPANTS!$B$41 ),IF(PARTICIPANTS!$E24="P",IF((W25&gt;0),RANK(W25,W$3:W$36)-SUMPRODUCT(($D$3:$D$36&lt;&gt;$D25)*(W$3:W$36&gt;W25)),IF(($D25="s"),COUNTIFS($D$3:$D$36,"=S",W$3:W$36,"&gt;0"),COUNTIFS($D$3:$D$36,"=J",W$3:W$36,"&gt;0"))+PARTICIPANTS!$E$41),PARTICIPANTS!$E$39+PARTICIPANTS!$E$41 ))</f>
        <v>46</v>
      </c>
      <c r="W25" s="61">
        <f>(Y25*200)+(Z25*20)+X25</f>
        <v>0</v>
      </c>
      <c r="X25" s="61">
        <f>'Jacques Romain'!$F$41</f>
        <v>0</v>
      </c>
      <c r="Y25" s="61">
        <f>COUNTIFS('Jacques Romain'!$E$3:$E$40,"=S")</f>
        <v>0</v>
      </c>
      <c r="Z25" s="127">
        <f>COUNTIFS('Jacques Romain'!$E$3:$E$40,"=A")</f>
        <v>0</v>
      </c>
      <c r="AA25" s="120" t="e">
        <f>VLOOKUP($C25,Rotations!$C$6:$G$37,5,FALSE)</f>
        <v>#N/A</v>
      </c>
      <c r="AB25" s="61">
        <f>IF(($D25="S"),IF(PARTICIPANTS!$E24="P",IF((AC25&gt;0),RANK(AC25,AC$3:AC$36)-SUMPRODUCT(($D$3:$D$36&lt;&gt;$D25)*(AC$3:AC$36&gt;AC25)),IF(($D25="s"),COUNTIFS($D$3:$D$36,"=S",AC$3:AC$36,"&gt;0"),COUNTIFS($D$3:$D$36,"=J",AC$3:AC$36,"&gt;0"))+PARTICIPANTS!$B$41),PARTICIPANTS!$B$39+PARTICIPANTS!$B$41 ),IF(PARTICIPANTS!$E24="P",IF((AC25&gt;0),RANK(AC25,AC$3:AC$36)-SUMPRODUCT(($D$3:$D$36&lt;&gt;$D25)*(AC$3:AC$36&gt;AC25)),IF(($D25="s"),COUNTIFS($D$3:$D$36,"=S",AC$3:AC$36,"&gt;0"),COUNTIFS($D$3:$D$36,"=J",AC$3:AC$36,"&gt;0"))+PARTICIPANTS!$E$41),PARTICIPANTS!$E$39+PARTICIPANTS!$E$41 ))</f>
        <v>46</v>
      </c>
      <c r="AC25" s="61">
        <f>(AE25*200)+(AF25*20)+AD25</f>
        <v>0</v>
      </c>
      <c r="AD25" s="61">
        <f>'Jacques Romain'!$H$41</f>
        <v>0</v>
      </c>
      <c r="AE25" s="61">
        <f>COUNTIFS('Jacques Romain'!$G$3:$G$40,"=S")</f>
        <v>0</v>
      </c>
      <c r="AF25" s="127">
        <f>COUNTIFS('Jacques Romain'!$G$3:$G$40,"=A")</f>
        <v>0</v>
      </c>
    </row>
    <row r="26" spans="1:32" s="63" customFormat="1" ht="13.5" thickBot="1" x14ac:dyDescent="0.25">
      <c r="A26" s="64">
        <f>RANK(E26,$E$3:$E$36,1)</f>
        <v>9</v>
      </c>
      <c r="B26" s="65">
        <v>24</v>
      </c>
      <c r="C26" s="66" t="str">
        <f>VLOOKUP($B26,PARTICIPANTS!$B$1:$E$35,2,FALSE)</f>
        <v>Jamagne Thierry</v>
      </c>
      <c r="D26" s="66" t="str">
        <f>VLOOKUP($B26,PARTICIPANTS!$B$1:$E$35,3,FALSE)</f>
        <v>S</v>
      </c>
      <c r="E26" s="84">
        <f>SUM(J26,P26,V26,AB26)+F26</f>
        <v>52</v>
      </c>
      <c r="F26" s="67">
        <v>0</v>
      </c>
      <c r="G26" s="67">
        <f>K26+Q26+W26+AC26</f>
        <v>7064</v>
      </c>
      <c r="H26" s="109">
        <f>M26+N26+S26+T26+Y26+Z26+AE26+AF26</f>
        <v>14</v>
      </c>
      <c r="I26" s="120">
        <f>VLOOKUP($C26,Rotations!$C$6:$G$37,2,FALSE)</f>
        <v>6</v>
      </c>
      <c r="J26" s="61">
        <f>IF(($D26="S"),IF(PARTICIPANTS!$E25="P",IF((K26&gt;0),RANK(K26,K$3:K$36)-SUMPRODUCT(($D$3:$D$36&lt;&gt;$D26)*(K$3:K$36&gt;K26)),IF(($D26="s"),COUNTIFS($D$3:$D$36,"=S",K$3:K$36,"&gt;0"),COUNTIFS($D$3:$D$36,"=J",K$3:K$36,"&gt;0"))+PARTICIPANTS!$B$41),PARTICIPANTS!$B$39+PARTICIPANTS!$B$41 ),IF(PARTICIPANTS!$E25="P",IF((K26&gt;0),RANK(K26,K$3:K$27)-SUMPRODUCT(($D$3:$D$36&lt;&gt;$D26)*(K$3:K$36&gt;K26)),IF(($D26="s"),COUNTIFS($D$3:$D$36,"=S",K$3:K$27,"&gt;0"),COUNTIFS($D$3:$D$36,"=J",K$3:K$36,"&gt;0"))+PARTICIPANTS!$E$41),PARTICIPANTS!$E$39+PARTICIPANTS!$E$41 ))</f>
        <v>27</v>
      </c>
      <c r="K26" s="61">
        <f>(M26*200)+(N26*10)+L26</f>
        <v>446</v>
      </c>
      <c r="L26" s="61">
        <f>'Jamagne Thierry'!$B$41</f>
        <v>246</v>
      </c>
      <c r="M26" s="62">
        <f>COUNTIFS('Jamagne Thierry'!$A$3:$A$40,"=S")</f>
        <v>1</v>
      </c>
      <c r="N26" s="121">
        <f>COUNTIFS('Jamagne Thierry'!$A$3:$A$40,"=A")</f>
        <v>0</v>
      </c>
      <c r="O26" s="120">
        <f>VLOOKUP($C26,Rotations!$C$6:$G$37,3,FALSE)</f>
        <v>3</v>
      </c>
      <c r="P26" s="61">
        <f>IF(($D26="S"),IF(PARTICIPANTS!$E25="P",IF((Q26&gt;0),RANK(Q26,Q$3:Q$36)-SUMPRODUCT(($D$3:$D$36&lt;&gt;$D26)*(Q$3:Q$36&gt;Q26)),IF(($D26="s"),COUNTIFS($D$3:$D$36,"=S",Q$3:Q$36,"&gt;0"),COUNTIFS($D$3:$D$36,"=J",Q$3:Q$36,"&gt;0"))+PARTICIPANTS!$B$41),PARTICIPANTS!$B$39+PARTICIPANTS!$B$41 ),IF(PARTICIPANTS!$E25="P",IF((Q26&gt;0),RANK(Q26,Q$3:Q$36)-SUMPRODUCT(($D$3:$D$36&lt;&gt;$D26)*(Q$3:Q$36&gt;Q26)),IF(($D26="s"),COUNTIFS($D$3:$D$36,"=S",Q$3:Q$36,"&gt;0"),COUNTIFS($D$3:$D$36,"=J",Q$3:Q$36,"&gt;0"))+PARTICIPANTS!$E$41),PARTICIPANTS!$E$39+PARTICIPANTS!$E$41 ))</f>
        <v>4</v>
      </c>
      <c r="Q26" s="61">
        <f>(S26*200)+(T26*10)+R26</f>
        <v>2950</v>
      </c>
      <c r="R26" s="61">
        <f>'Jamagne Thierry'!$D$41</f>
        <v>1750</v>
      </c>
      <c r="S26" s="61">
        <f>COUNTIFS('Jamagne Thierry'!$C$3:$C$40,"=S")</f>
        <v>6</v>
      </c>
      <c r="T26" s="127">
        <f>COUNTIFS('Jamagne Thierry'!$C$3:$C$40,"=A")</f>
        <v>0</v>
      </c>
      <c r="U26" s="120">
        <f>VLOOKUP($C26,Rotations!$C$6:$G$37,4,FALSE)</f>
        <v>22</v>
      </c>
      <c r="V26" s="61">
        <f>IF(($D26="S"),IF(PARTICIPANTS!$E25="P",IF((W26&gt;0),RANK(W26,W$3:W$36)-SUMPRODUCT(($D$3:$D$36&lt;&gt;$D26)*(W$3:W$36&gt;W26)),IF(($D26="s"),COUNTIFS($D$3:$D$36,"=S",W$3:W$36,"&gt;0"),COUNTIFS($D$3:$D$36,"=J",W$3:W$36,"&gt;0"))+PARTICIPANTS!$B$41),PARTICIPANTS!$B$39+PARTICIPANTS!$B$41 ),IF(PARTICIPANTS!$E25="P",IF((W26&gt;0),RANK(W26,W$3:W$36)-SUMPRODUCT(($D$3:$D$36&lt;&gt;$D26)*(W$3:W$36&gt;W26)),IF(($D26="s"),COUNTIFS($D$3:$D$36,"=S",W$3:W$36,"&gt;0"),COUNTIFS($D$3:$D$36,"=J",W$3:W$36,"&gt;0"))+PARTICIPANTS!$E$41),PARTICIPANTS!$E$39+PARTICIPANTS!$E$41 ))</f>
        <v>13</v>
      </c>
      <c r="W26" s="61">
        <f>(Y26*200)+(Z26*20)+X26</f>
        <v>1642</v>
      </c>
      <c r="X26" s="61">
        <f>'Jamagne Thierry'!$F$41</f>
        <v>1042</v>
      </c>
      <c r="Y26" s="61">
        <f>COUNTIFS('Jamagne Thierry'!$E$3:$E$40,"=S")</f>
        <v>3</v>
      </c>
      <c r="Z26" s="127">
        <f>COUNTIFS('Jamagne Thierry'!$E$3:$E$40,"=A")</f>
        <v>0</v>
      </c>
      <c r="AA26" s="120">
        <f>VLOOKUP($C26,Rotations!$C$6:$G$37,5,FALSE)</f>
        <v>19</v>
      </c>
      <c r="AB26" s="61">
        <f>IF(($D26="S"),IF(PARTICIPANTS!$E25="P",IF((AC26&gt;0),RANK(AC26,AC$3:AC$36)-SUMPRODUCT(($D$3:$D$36&lt;&gt;$D26)*(AC$3:AC$36&gt;AC26)),IF(($D26="s"),COUNTIFS($D$3:$D$36,"=S",AC$3:AC$36,"&gt;0"),COUNTIFS($D$3:$D$36,"=J",AC$3:AC$36,"&gt;0"))+PARTICIPANTS!$B$41),PARTICIPANTS!$B$39+PARTICIPANTS!$B$41 ),IF(PARTICIPANTS!$E25="P",IF((AC26&gt;0),RANK(AC26,AC$3:AC$36)-SUMPRODUCT(($D$3:$D$36&lt;&gt;$D26)*(AC$3:AC$36&gt;AC26)),IF(($D26="s"),COUNTIFS($D$3:$D$36,"=S",AC$3:AC$36,"&gt;0"),COUNTIFS($D$3:$D$36,"=J",AC$3:AC$36,"&gt;0"))+PARTICIPANTS!$E$41),PARTICIPANTS!$E$39+PARTICIPANTS!$E$41 ))</f>
        <v>8</v>
      </c>
      <c r="AC26" s="61">
        <f>(AE26*200)+(AF26*20)+AD26</f>
        <v>2026</v>
      </c>
      <c r="AD26" s="61">
        <f>'Jamagne Thierry'!$H$41</f>
        <v>1226</v>
      </c>
      <c r="AE26" s="61">
        <f>COUNTIFS('Jamagne Thierry'!$G$3:$G$40,"=S")</f>
        <v>4</v>
      </c>
      <c r="AF26" s="127">
        <f>COUNTIFS('Jamagne Thierry'!$G$3:$G$40,"=A")</f>
        <v>0</v>
      </c>
    </row>
    <row r="27" spans="1:32" s="63" customFormat="1" ht="13.5" thickBot="1" x14ac:dyDescent="0.25">
      <c r="A27" s="64">
        <f>RANK(E27,$E$3:$E$36,1)</f>
        <v>14</v>
      </c>
      <c r="B27" s="65">
        <v>25</v>
      </c>
      <c r="C27" s="66" t="str">
        <f>VLOOKUP($B27,PARTICIPANTS!$B$1:$E$35,2,FALSE)</f>
        <v>Lambert Jacques</v>
      </c>
      <c r="D27" s="66" t="str">
        <f>VLOOKUP($B27,PARTICIPANTS!$B$1:$E$35,3,FALSE)</f>
        <v>S</v>
      </c>
      <c r="E27" s="84">
        <f>SUM(J27,P27,V27,AB27)+F27</f>
        <v>67</v>
      </c>
      <c r="F27" s="67">
        <v>0</v>
      </c>
      <c r="G27" s="67">
        <f>K27+Q27+W27+AC27</f>
        <v>4937</v>
      </c>
      <c r="H27" s="109">
        <f>M27+N27+S27+T27+Y27+Z27+AE27+AF27</f>
        <v>10</v>
      </c>
      <c r="I27" s="120">
        <f>VLOOKUP($C27,Rotations!$C$6:$G$37,2,FALSE)</f>
        <v>11</v>
      </c>
      <c r="J27" s="61">
        <f>IF(($D27="S"),IF(PARTICIPANTS!$E26="P",IF((K27&gt;0),RANK(K27,K$3:K$36)-SUMPRODUCT(($D$3:$D$36&lt;&gt;$D27)*(K$3:K$36&gt;K27)),IF(($D27="s"),COUNTIFS($D$3:$D$36,"=S",K$3:K$36,"&gt;0"),COUNTIFS($D$3:$D$36,"=J",K$3:K$36,"&gt;0"))+PARTICIPANTS!$B$41),PARTICIPANTS!$B$39+PARTICIPANTS!$B$41 ),IF(PARTICIPANTS!$E26="P",IF((K27&gt;0),RANK(K27,K$3:K$27)-SUMPRODUCT(($D$3:$D$36&lt;&gt;$D27)*(K$3:K$36&gt;K27)),IF(($D27="s"),COUNTIFS($D$3:$D$36,"=S",K$3:K$27,"&gt;0"),COUNTIFS($D$3:$D$36,"=J",K$3:K$36,"&gt;0"))+PARTICIPANTS!$E$41),PARTICIPANTS!$E$39+PARTICIPANTS!$E$41 ))</f>
        <v>12</v>
      </c>
      <c r="K27" s="61">
        <f>(M27*200)+(N27*10)+L27</f>
        <v>2010</v>
      </c>
      <c r="L27" s="61">
        <f>'Lambert Jacques'!$B$41</f>
        <v>1210</v>
      </c>
      <c r="M27" s="62">
        <f>COUNTIFS('Lambert Jacques'!$A$3:$A$40,"=S")</f>
        <v>4</v>
      </c>
      <c r="N27" s="121">
        <f>COUNTIFS('Lambert Jacques'!$A$3:$A$40,"=A")</f>
        <v>0</v>
      </c>
      <c r="O27" s="120">
        <f>VLOOKUP($C27,Rotations!$C$6:$G$37,3,FALSE)</f>
        <v>13</v>
      </c>
      <c r="P27" s="61">
        <f>IF(($D27="S"),IF(PARTICIPANTS!$E26="P",IF((Q27&gt;0),RANK(Q27,Q$3:Q$36)-SUMPRODUCT(($D$3:$D$36&lt;&gt;$D27)*(Q$3:Q$36&gt;Q27)),IF(($D27="s"),COUNTIFS($D$3:$D$36,"=S",Q$3:Q$36,"&gt;0"),COUNTIFS($D$3:$D$36,"=J",Q$3:Q$36,"&gt;0"))+PARTICIPANTS!$B$41),PARTICIPANTS!$B$39+PARTICIPANTS!$B$41 ),IF(PARTICIPANTS!$E26="P",IF((Q27&gt;0),RANK(Q27,Q$3:Q$36)-SUMPRODUCT(($D$3:$D$36&lt;&gt;$D27)*(Q$3:Q$36&gt;Q27)),IF(($D27="s"),COUNTIFS($D$3:$D$36,"=S",Q$3:Q$36,"&gt;0"),COUNTIFS($D$3:$D$36,"=J",Q$3:Q$36,"&gt;0"))+PARTICIPANTS!$E$41),PARTICIPANTS!$E$39+PARTICIPANTS!$E$41 ))</f>
        <v>13</v>
      </c>
      <c r="Q27" s="61">
        <f>(S27*200)+(T27*10)+R27</f>
        <v>1398</v>
      </c>
      <c r="R27" s="61">
        <f>'Lambert Jacques'!$D$41</f>
        <v>798</v>
      </c>
      <c r="S27" s="61">
        <f>COUNTIFS('Lambert Jacques'!$C$3:$C$40,"=S")</f>
        <v>3</v>
      </c>
      <c r="T27" s="127">
        <f>COUNTIFS('Lambert Jacques'!$C$3:$C$40,"=A")</f>
        <v>0</v>
      </c>
      <c r="U27" s="120">
        <f>VLOOKUP($C27,Rotations!$C$6:$G$37,4,FALSE)</f>
        <v>27</v>
      </c>
      <c r="V27" s="61">
        <f>IF(($D27="S"),IF(PARTICIPANTS!$E26="P",IF((W27&gt;0),RANK(W27,W$3:W$36)-SUMPRODUCT(($D$3:$D$36&lt;&gt;$D27)*(W$3:W$36&gt;W27)),IF(($D27="s"),COUNTIFS($D$3:$D$36,"=S",W$3:W$36,"&gt;0"),COUNTIFS($D$3:$D$36,"=J",W$3:W$36,"&gt;0"))+PARTICIPANTS!$B$41),PARTICIPANTS!$B$39+PARTICIPANTS!$B$41 ),IF(PARTICIPANTS!$E26="P",IF((W27&gt;0),RANK(W27,W$3:W$36)-SUMPRODUCT(($D$3:$D$36&lt;&gt;$D27)*(W$3:W$36&gt;W27)),IF(($D27="s"),COUNTIFS($D$3:$D$36,"=S",W$3:W$36,"&gt;0"),COUNTIFS($D$3:$D$36,"=J",W$3:W$36,"&gt;0"))+PARTICIPANTS!$E$41),PARTICIPANTS!$E$39+PARTICIPANTS!$E$41 ))</f>
        <v>27</v>
      </c>
      <c r="W27" s="61">
        <f>(Y27*200)+(Z27*20)+X27</f>
        <v>485</v>
      </c>
      <c r="X27" s="61">
        <f>'Lambert Jacques'!$F$41</f>
        <v>285</v>
      </c>
      <c r="Y27" s="61">
        <f>COUNTIFS('Lambert Jacques'!$E$3:$E$40,"=S")</f>
        <v>1</v>
      </c>
      <c r="Z27" s="127">
        <f>COUNTIFS('Lambert Jacques'!$E$3:$E$40,"=A")</f>
        <v>0</v>
      </c>
      <c r="AA27" s="120">
        <f>VLOOKUP($C27,Rotations!$C$6:$G$37,5,FALSE)</f>
        <v>31</v>
      </c>
      <c r="AB27" s="61">
        <f>IF(($D27="S"),IF(PARTICIPANTS!$E26="P",IF((AC27&gt;0),RANK(AC27,AC$3:AC$36)-SUMPRODUCT(($D$3:$D$36&lt;&gt;$D27)*(AC$3:AC$36&gt;AC27)),IF(($D27="s"),COUNTIFS($D$3:$D$36,"=S",AC$3:AC$36,"&gt;0"),COUNTIFS($D$3:$D$36,"=J",AC$3:AC$36,"&gt;0"))+PARTICIPANTS!$B$41),PARTICIPANTS!$B$39+PARTICIPANTS!$B$41 ),IF(PARTICIPANTS!$E26="P",IF((AC27&gt;0),RANK(AC27,AC$3:AC$36)-SUMPRODUCT(($D$3:$D$36&lt;&gt;$D27)*(AC$3:AC$36&gt;AC27)),IF(($D27="s"),COUNTIFS($D$3:$D$36,"=S",AC$3:AC$36,"&gt;0"),COUNTIFS($D$3:$D$36,"=J",AC$3:AC$36,"&gt;0"))+PARTICIPANTS!$E$41),PARTICIPANTS!$E$39+PARTICIPANTS!$E$41 ))</f>
        <v>15</v>
      </c>
      <c r="AC27" s="61">
        <f>(AE27*200)+(AF27*20)+AD27</f>
        <v>1044</v>
      </c>
      <c r="AD27" s="61">
        <f>'Lambert Jacques'!$H$41</f>
        <v>644</v>
      </c>
      <c r="AE27" s="61">
        <f>COUNTIFS('Lambert Jacques'!$G$3:$G$40,"=S")</f>
        <v>2</v>
      </c>
      <c r="AF27" s="127">
        <f>COUNTIFS('Lambert Jacques'!$G$3:$G$40,"=A")</f>
        <v>0</v>
      </c>
    </row>
    <row r="28" spans="1:32" s="63" customFormat="1" ht="13.5" thickBot="1" x14ac:dyDescent="0.25">
      <c r="A28" s="64">
        <f>RANK(E28,$E$3:$E$36,1)</f>
        <v>6</v>
      </c>
      <c r="B28" s="65">
        <v>26</v>
      </c>
      <c r="C28" s="66" t="str">
        <f>VLOOKUP($B28,PARTICIPANTS!$B$1:$E$35,2,FALSE)</f>
        <v>Leboutte Loïc</v>
      </c>
      <c r="D28" s="66" t="str">
        <f>VLOOKUP($B28,PARTICIPANTS!$B$1:$E$35,3,FALSE)</f>
        <v>S</v>
      </c>
      <c r="E28" s="84">
        <f>SUM(J28,P28,V28,AB28)+F28</f>
        <v>47</v>
      </c>
      <c r="F28" s="67">
        <v>0</v>
      </c>
      <c r="G28" s="67">
        <f>K28+Q28+W28+AC28</f>
        <v>6808</v>
      </c>
      <c r="H28" s="109">
        <f>M28+N28+S28+T28+Y28+Z28+AE28+AF28</f>
        <v>13</v>
      </c>
      <c r="I28" s="120">
        <f>VLOOKUP($C28,Rotations!$C$6:$G$37,2,FALSE)</f>
        <v>16</v>
      </c>
      <c r="J28" s="61">
        <f>IF(($D28="S"),IF(PARTICIPANTS!$E27="P",IF((K28&gt;0),RANK(K28,K$3:K$36)-SUMPRODUCT(($D$3:$D$36&lt;&gt;$D28)*(K$3:K$36&gt;K28)),IF(($D28="s"),COUNTIFS($D$3:$D$36,"=S",K$3:K$36,"&gt;0"),COUNTIFS($D$3:$D$36,"=J",K$3:K$36,"&gt;0"))+PARTICIPANTS!$B$41),PARTICIPANTS!$B$39+PARTICIPANTS!$B$41 ),IF(PARTICIPANTS!$E27="P",IF((K28&gt;0),RANK(K28,K$3:K$27)-SUMPRODUCT(($D$3:$D$36&lt;&gt;$D28)*(K$3:K$36&gt;K28)),IF(($D28="s"),COUNTIFS($D$3:$D$36,"=S",K$3:K$27,"&gt;0"),COUNTIFS($D$3:$D$36,"=J",K$3:K$36,"&gt;0"))+PARTICIPANTS!$E$41),PARTICIPANTS!$E$39+PARTICIPANTS!$E$41 ))</f>
        <v>14</v>
      </c>
      <c r="K28" s="61">
        <f>(M28*200)+(N28*10)+L28</f>
        <v>1470</v>
      </c>
      <c r="L28" s="61">
        <f>'Leboutte Loïc'!$B$41</f>
        <v>870</v>
      </c>
      <c r="M28" s="62">
        <f>COUNTIFS('Leboutte Loïc'!$A$3:$A$40,"=S")</f>
        <v>3</v>
      </c>
      <c r="N28" s="121">
        <f>COUNTIFS('Leboutte Loïc'!$A$3:$A$40,"=A")</f>
        <v>0</v>
      </c>
      <c r="O28" s="120">
        <f>VLOOKUP($C28,Rotations!$C$6:$G$37,3,FALSE)</f>
        <v>18</v>
      </c>
      <c r="P28" s="61">
        <f>IF(($D28="S"),IF(PARTICIPANTS!$E27="P",IF((Q28&gt;0),RANK(Q28,Q$3:Q$36)-SUMPRODUCT(($D$3:$D$36&lt;&gt;$D28)*(Q$3:Q$36&gt;Q28)),IF(($D28="s"),COUNTIFS($D$3:$D$36,"=S",Q$3:Q$36,"&gt;0"),COUNTIFS($D$3:$D$36,"=J",Q$3:Q$36,"&gt;0"))+PARTICIPANTS!$B$41),PARTICIPANTS!$B$39+PARTICIPANTS!$B$41 ),IF(PARTICIPANTS!$E27="P",IF((Q28&gt;0),RANK(Q28,Q$3:Q$36)-SUMPRODUCT(($D$3:$D$36&lt;&gt;$D28)*(Q$3:Q$36&gt;Q28)),IF(($D28="s"),COUNTIFS($D$3:$D$36,"=S",Q$3:Q$36,"&gt;0"),COUNTIFS($D$3:$D$36,"=J",Q$3:Q$36,"&gt;0"))+PARTICIPANTS!$E$41),PARTICIPANTS!$E$39+PARTICIPANTS!$E$41 ))</f>
        <v>10</v>
      </c>
      <c r="Q28" s="61">
        <f>(S28*200)+(T28*10)+R28</f>
        <v>1612</v>
      </c>
      <c r="R28" s="61">
        <f>'Leboutte Loïc'!$D$41</f>
        <v>1012</v>
      </c>
      <c r="S28" s="61">
        <f>COUNTIFS('Leboutte Loïc'!$C$3:$C$40,"=S")</f>
        <v>3</v>
      </c>
      <c r="T28" s="127">
        <f>COUNTIFS('Leboutte Loïc'!$C$3:$C$40,"=A")</f>
        <v>0</v>
      </c>
      <c r="U28" s="120">
        <f>VLOOKUP($C28,Rotations!$C$6:$G$37,4,FALSE)</f>
        <v>32</v>
      </c>
      <c r="V28" s="61">
        <f>IF(($D28="S"),IF(PARTICIPANTS!$E27="P",IF((W28&gt;0),RANK(W28,W$3:W$36)-SUMPRODUCT(($D$3:$D$36&lt;&gt;$D28)*(W$3:W$36&gt;W28)),IF(($D28="s"),COUNTIFS($D$3:$D$36,"=S",W$3:W$36,"&gt;0"),COUNTIFS($D$3:$D$36,"=J",W$3:W$36,"&gt;0"))+PARTICIPANTS!$B$41),PARTICIPANTS!$B$39+PARTICIPANTS!$B$41 ),IF(PARTICIPANTS!$E27="P",IF((W28&gt;0),RANK(W28,W$3:W$36)-SUMPRODUCT(($D$3:$D$36&lt;&gt;$D28)*(W$3:W$36&gt;W28)),IF(($D28="s"),COUNTIFS($D$3:$D$36,"=S",W$3:W$36,"&gt;0"),COUNTIFS($D$3:$D$36,"=J",W$3:W$36,"&gt;0"))+PARTICIPANTS!$E$41),PARTICIPANTS!$E$39+PARTICIPANTS!$E$41 ))</f>
        <v>4</v>
      </c>
      <c r="W28" s="61">
        <f>(Y28*200)+(Z28*20)+X28</f>
        <v>3151</v>
      </c>
      <c r="X28" s="61">
        <f>'Leboutte Loïc'!$F$41</f>
        <v>1951</v>
      </c>
      <c r="Y28" s="61">
        <f>COUNTIFS('Leboutte Loïc'!$E$3:$E$40,"=S")</f>
        <v>6</v>
      </c>
      <c r="Z28" s="127">
        <f>COUNTIFS('Leboutte Loïc'!$E$3:$E$40,"=A")</f>
        <v>0</v>
      </c>
      <c r="AA28" s="120">
        <f>VLOOKUP($C28,Rotations!$C$6:$G$37,5,FALSE)</f>
        <v>28</v>
      </c>
      <c r="AB28" s="61">
        <f>IF(($D28="S"),IF(PARTICIPANTS!$E27="P",IF((AC28&gt;0),RANK(AC28,AC$3:AC$36)-SUMPRODUCT(($D$3:$D$36&lt;&gt;$D28)*(AC$3:AC$36&gt;AC28)),IF(($D28="s"),COUNTIFS($D$3:$D$36,"=S",AC$3:AC$36,"&gt;0"),COUNTIFS($D$3:$D$36,"=J",AC$3:AC$36,"&gt;0"))+PARTICIPANTS!$B$41),PARTICIPANTS!$B$39+PARTICIPANTS!$B$41 ),IF(PARTICIPANTS!$E27="P",IF((AC28&gt;0),RANK(AC28,AC$3:AC$36)-SUMPRODUCT(($D$3:$D$36&lt;&gt;$D28)*(AC$3:AC$36&gt;AC28)),IF(($D28="s"),COUNTIFS($D$3:$D$36,"=S",AC$3:AC$36,"&gt;0"),COUNTIFS($D$3:$D$36,"=J",AC$3:AC$36,"&gt;0"))+PARTICIPANTS!$E$41),PARTICIPANTS!$E$39+PARTICIPANTS!$E$41 ))</f>
        <v>19</v>
      </c>
      <c r="AC28" s="61">
        <f>(AE28*200)+(AF28*20)+AD28</f>
        <v>575</v>
      </c>
      <c r="AD28" s="61">
        <f>'Leboutte Loïc'!$H$41</f>
        <v>375</v>
      </c>
      <c r="AE28" s="61">
        <f>COUNTIFS('Leboutte Loïc'!$G$3:$G$40,"=S")</f>
        <v>1</v>
      </c>
      <c r="AF28" s="127">
        <f>COUNTIFS('Leboutte Loïc'!$G$3:$G$40,"=A")</f>
        <v>0</v>
      </c>
    </row>
    <row r="29" spans="1:32" s="63" customFormat="1" ht="13.5" thickBot="1" x14ac:dyDescent="0.25">
      <c r="A29" s="64">
        <f>RANK(E29,$E$3:$E$36,1)</f>
        <v>27</v>
      </c>
      <c r="B29" s="65">
        <v>27</v>
      </c>
      <c r="C29" s="66" t="str">
        <f>VLOOKUP($B29,PARTICIPANTS!$B$1:$E$35,2,FALSE)</f>
        <v>Lefert Quentin</v>
      </c>
      <c r="D29" s="66" t="str">
        <f>VLOOKUP($B29,PARTICIPANTS!$B$1:$E$35,3,FALSE)</f>
        <v>S</v>
      </c>
      <c r="E29" s="84">
        <f>SUM(J29,P29,V29,AB29)+F29</f>
        <v>97</v>
      </c>
      <c r="F29" s="67">
        <v>0</v>
      </c>
      <c r="G29" s="67">
        <f>K29+Q29+W29+AC29</f>
        <v>3724</v>
      </c>
      <c r="H29" s="109">
        <f>M29+N29+S29+T29+Y29+Z29+AE29+AF29</f>
        <v>8</v>
      </c>
      <c r="I29" s="120">
        <f>VLOOKUP($C29,Rotations!$C$6:$G$37,2,FALSE)</f>
        <v>28</v>
      </c>
      <c r="J29" s="61">
        <f>IF(($D29="S"),IF(PARTICIPANTS!$E28="P",IF((K29&gt;0),RANK(K29,K$3:K$36)-SUMPRODUCT(($D$3:$D$36&lt;&gt;$D29)*(K$3:K$36&gt;K29)),IF(($D29="s"),COUNTIFS($D$3:$D$36,"=S",K$3:K$36,"&gt;0"),COUNTIFS($D$3:$D$36,"=J",K$3:K$36,"&gt;0"))+PARTICIPANTS!$B$41),PARTICIPANTS!$B$39+PARTICIPANTS!$B$41 ),IF(PARTICIPANTS!$E28="P",IF((K29&gt;0),RANK(K29,K$3:K$27)-SUMPRODUCT(($D$3:$D$36&lt;&gt;$D29)*(K$3:K$36&gt;K29)),IF(($D29="s"),COUNTIFS($D$3:$D$36,"=S",K$3:K$27,"&gt;0"),COUNTIFS($D$3:$D$36,"=J",K$3:K$36,"&gt;0"))+PARTICIPANTS!$E$41),PARTICIPANTS!$E$39+PARTICIPANTS!$E$41 ))</f>
        <v>9</v>
      </c>
      <c r="K29" s="61">
        <f>(M29*200)+(N29*10)+L29</f>
        <v>2445</v>
      </c>
      <c r="L29" s="61">
        <f>'Lefert Quentin'!$B$41</f>
        <v>1445</v>
      </c>
      <c r="M29" s="62">
        <f>COUNTIFS('Lefert Quentin'!$A$3:$A$40,"=S")</f>
        <v>5</v>
      </c>
      <c r="N29" s="121">
        <f>COUNTIFS('Lefert Quentin'!$A$3:$A$40,"=A")</f>
        <v>0</v>
      </c>
      <c r="O29" s="120">
        <f>VLOOKUP($C29,Rotations!$C$6:$G$37,3,FALSE)</f>
        <v>32</v>
      </c>
      <c r="P29" s="61">
        <f>IF(($D29="S"),IF(PARTICIPANTS!$E28="P",IF((Q29&gt;0),RANK(Q29,Q$3:Q$36)-SUMPRODUCT(($D$3:$D$36&lt;&gt;$D29)*(Q$3:Q$36&gt;Q29)),IF(($D29="s"),COUNTIFS($D$3:$D$36,"=S",Q$3:Q$36,"&gt;0"),COUNTIFS($D$3:$D$36,"=J",Q$3:Q$36,"&gt;0"))+PARTICIPANTS!$B$41),PARTICIPANTS!$B$39+PARTICIPANTS!$B$41 ),IF(PARTICIPANTS!$E28="P",IF((Q29&gt;0),RANK(Q29,Q$3:Q$36)-SUMPRODUCT(($D$3:$D$36&lt;&gt;$D29)*(Q$3:Q$36&gt;Q29)),IF(($D29="s"),COUNTIFS($D$3:$D$36,"=S",Q$3:Q$36,"&gt;0"),COUNTIFS($D$3:$D$36,"=J",Q$3:Q$36,"&gt;0"))+PARTICIPANTS!$E$41),PARTICIPANTS!$E$39+PARTICIPANTS!$E$41 ))</f>
        <v>38</v>
      </c>
      <c r="Q29" s="61">
        <f>(S29*200)+(T29*10)+R29</f>
        <v>0</v>
      </c>
      <c r="R29" s="61">
        <f>'Lefert Quentin'!$D$41</f>
        <v>0</v>
      </c>
      <c r="S29" s="61">
        <f>COUNTIFS('Lefert Quentin'!$C$3:$C$40,"=S")</f>
        <v>0</v>
      </c>
      <c r="T29" s="127">
        <f>COUNTIFS('Lefert Quentin'!$C$3:$C$40,"=A")</f>
        <v>0</v>
      </c>
      <c r="U29" s="120">
        <f>VLOOKUP($C29,Rotations!$C$6:$G$37,4,FALSE)</f>
        <v>12</v>
      </c>
      <c r="V29" s="61">
        <f>IF(($D29="S"),IF(PARTICIPANTS!$E28="P",IF((W29&gt;0),RANK(W29,W$3:W$36)-SUMPRODUCT(($D$3:$D$36&lt;&gt;$D29)*(W$3:W$36&gt;W29)),IF(($D29="s"),COUNTIFS($D$3:$D$36,"=S",W$3:W$36,"&gt;0"),COUNTIFS($D$3:$D$36,"=J",W$3:W$36,"&gt;0"))+PARTICIPANTS!$B$41),PARTICIPANTS!$B$39+PARTICIPANTS!$B$41 ),IF(PARTICIPANTS!$E28="P",IF((W29&gt;0),RANK(W29,W$3:W$36)-SUMPRODUCT(($D$3:$D$36&lt;&gt;$D29)*(W$3:W$36&gt;W29)),IF(($D29="s"),COUNTIFS($D$3:$D$36,"=S",W$3:W$36,"&gt;0"),COUNTIFS($D$3:$D$36,"=J",W$3:W$36,"&gt;0"))+PARTICIPANTS!$E$41),PARTICIPANTS!$E$39+PARTICIPANTS!$E$41 ))</f>
        <v>22</v>
      </c>
      <c r="W29" s="61">
        <f>(Y29*200)+(Z29*20)+X29</f>
        <v>876</v>
      </c>
      <c r="X29" s="61">
        <f>'Lefert Quentin'!$F$41</f>
        <v>476</v>
      </c>
      <c r="Y29" s="61">
        <f>COUNTIFS('Lefert Quentin'!$E$3:$E$40,"=S")</f>
        <v>2</v>
      </c>
      <c r="Z29" s="127">
        <f>COUNTIFS('Lefert Quentin'!$E$3:$E$40,"=A")</f>
        <v>0</v>
      </c>
      <c r="AA29" s="120">
        <f>VLOOKUP($C29,Rotations!$C$6:$G$37,5,FALSE)</f>
        <v>14</v>
      </c>
      <c r="AB29" s="61">
        <f>IF(($D29="S"),IF(PARTICIPANTS!$E28="P",IF((AC29&gt;0),RANK(AC29,AC$3:AC$36)-SUMPRODUCT(($D$3:$D$36&lt;&gt;$D29)*(AC$3:AC$36&gt;AC29)),IF(($D29="s"),COUNTIFS($D$3:$D$36,"=S",AC$3:AC$36,"&gt;0"),COUNTIFS($D$3:$D$36,"=J",AC$3:AC$36,"&gt;0"))+PARTICIPANTS!$B$41),PARTICIPANTS!$B$39+PARTICIPANTS!$B$41 ),IF(PARTICIPANTS!$E28="P",IF((AC29&gt;0),RANK(AC29,AC$3:AC$36)-SUMPRODUCT(($D$3:$D$36&lt;&gt;$D29)*(AC$3:AC$36&gt;AC29)),IF(($D29="s"),COUNTIFS($D$3:$D$36,"=S",AC$3:AC$36,"&gt;0"),COUNTIFS($D$3:$D$36,"=J",AC$3:AC$36,"&gt;0"))+PARTICIPANTS!$E$41),PARTICIPANTS!$E$39+PARTICIPANTS!$E$41 ))</f>
        <v>28</v>
      </c>
      <c r="AC29" s="61">
        <f>(AE29*200)+(AF29*20)+AD29</f>
        <v>403</v>
      </c>
      <c r="AD29" s="61">
        <f>'Lefert Quentin'!$H$41</f>
        <v>203</v>
      </c>
      <c r="AE29" s="61">
        <f>COUNTIFS('Lefert Quentin'!$G$3:$G$40,"=S")</f>
        <v>1</v>
      </c>
      <c r="AF29" s="127">
        <f>COUNTIFS('Lefert Quentin'!$G$3:$G$40,"=A")</f>
        <v>0</v>
      </c>
    </row>
    <row r="30" spans="1:32" s="63" customFormat="1" ht="13.5" thickBot="1" x14ac:dyDescent="0.25">
      <c r="A30" s="64">
        <f>RANK(E30,$E$3:$E$36,1)</f>
        <v>5</v>
      </c>
      <c r="B30" s="65">
        <v>28</v>
      </c>
      <c r="C30" s="66" t="str">
        <f>VLOOKUP($B30,PARTICIPANTS!$B$1:$E$35,2,FALSE)</f>
        <v>Lorquet Julien</v>
      </c>
      <c r="D30" s="66" t="str">
        <f>VLOOKUP($B30,PARTICIPANTS!$B$1:$E$35,3,FALSE)</f>
        <v>S</v>
      </c>
      <c r="E30" s="84">
        <f>SUM(J30,P30,V30,AB30)+F30</f>
        <v>40</v>
      </c>
      <c r="F30" s="67">
        <v>0</v>
      </c>
      <c r="G30" s="67">
        <f>K30+Q30+W30+AC30</f>
        <v>8392</v>
      </c>
      <c r="H30" s="109">
        <f>M30+N30+S30+T30+Y30+Z30+AE30+AF30</f>
        <v>17</v>
      </c>
      <c r="I30" s="120">
        <f>VLOOKUP($C30,Rotations!$C$6:$G$37,2,FALSE)</f>
        <v>29</v>
      </c>
      <c r="J30" s="61">
        <f>IF(($D30="S"),IF(PARTICIPANTS!$E29="P",IF((K30&gt;0),RANK(K30,K$3:K$36)-SUMPRODUCT(($D$3:$D$36&lt;&gt;$D30)*(K$3:K$36&gt;K30)),IF(($D30="s"),COUNTIFS($D$3:$D$36,"=S",K$3:K$36,"&gt;0"),COUNTIFS($D$3:$D$36,"=J",K$3:K$36,"&gt;0"))+PARTICIPANTS!$B$41),PARTICIPANTS!$B$39+PARTICIPANTS!$B$41 ),IF(PARTICIPANTS!$E29="P",IF((K30&gt;0),RANK(K30,K$3:K$27)-SUMPRODUCT(($D$3:$D$36&lt;&gt;$D30)*(K$3:K$36&gt;K30)),IF(($D30="s"),COUNTIFS($D$3:$D$36,"=S",K$3:K$27,"&gt;0"),COUNTIFS($D$3:$D$36,"=J",K$3:K$36,"&gt;0"))+PARTICIPANTS!$E$41),PARTICIPANTS!$E$39+PARTICIPANTS!$E$41 ))</f>
        <v>2</v>
      </c>
      <c r="K30" s="61">
        <f>(M30*200)+(N30*10)+L30</f>
        <v>3261</v>
      </c>
      <c r="L30" s="61">
        <f>'Lorquet Julien'!$B$41</f>
        <v>1861</v>
      </c>
      <c r="M30" s="62">
        <f>COUNTIFS('Lorquet Julien'!$A$3:$A$40,"=S")</f>
        <v>7</v>
      </c>
      <c r="N30" s="121">
        <f>COUNTIFS('Lorquet Julien'!$A$3:$A$40,"=A")</f>
        <v>0</v>
      </c>
      <c r="O30" s="120">
        <f>VLOOKUP($C30,Rotations!$C$6:$G$37,3,FALSE)</f>
        <v>25</v>
      </c>
      <c r="P30" s="61">
        <f>IF(($D30="S"),IF(PARTICIPANTS!$E29="P",IF((Q30&gt;0),RANK(Q30,Q$3:Q$36)-SUMPRODUCT(($D$3:$D$36&lt;&gt;$D30)*(Q$3:Q$36&gt;Q30)),IF(($D30="s"),COUNTIFS($D$3:$D$36,"=S",Q$3:Q$36,"&gt;0"),COUNTIFS($D$3:$D$36,"=J",Q$3:Q$36,"&gt;0"))+PARTICIPANTS!$B$41),PARTICIPANTS!$B$39+PARTICIPANTS!$B$41 ),IF(PARTICIPANTS!$E29="P",IF((Q30&gt;0),RANK(Q30,Q$3:Q$36)-SUMPRODUCT(($D$3:$D$36&lt;&gt;$D30)*(Q$3:Q$36&gt;Q30)),IF(($D30="s"),COUNTIFS($D$3:$D$36,"=S",Q$3:Q$36,"&gt;0"),COUNTIFS($D$3:$D$36,"=J",Q$3:Q$36,"&gt;0"))+PARTICIPANTS!$E$41),PARTICIPANTS!$E$39+PARTICIPANTS!$E$41 ))</f>
        <v>23</v>
      </c>
      <c r="Q30" s="61">
        <f>(S30*200)+(T30*10)+R30</f>
        <v>500</v>
      </c>
      <c r="R30" s="61">
        <f>'Lorquet Julien'!$D$41</f>
        <v>300</v>
      </c>
      <c r="S30" s="61">
        <f>COUNTIFS('Lorquet Julien'!$C$3:$C$40,"=S")</f>
        <v>1</v>
      </c>
      <c r="T30" s="127">
        <f>COUNTIFS('Lorquet Julien'!$C$3:$C$40,"=A")</f>
        <v>0</v>
      </c>
      <c r="U30" s="120">
        <f>VLOOKUP($C30,Rotations!$C$6:$G$37,4,FALSE)</f>
        <v>13</v>
      </c>
      <c r="V30" s="61">
        <f>IF(($D30="S"),IF(PARTICIPANTS!$E29="P",IF((W30&gt;0),RANK(W30,W$3:W$36)-SUMPRODUCT(($D$3:$D$36&lt;&gt;$D30)*(W$3:W$36&gt;W30)),IF(($D30="s"),COUNTIFS($D$3:$D$36,"=S",W$3:W$36,"&gt;0"),COUNTIFS($D$3:$D$36,"=J",W$3:W$36,"&gt;0"))+PARTICIPANTS!$B$41),PARTICIPANTS!$B$39+PARTICIPANTS!$B$41 ),IF(PARTICIPANTS!$E29="P",IF((W30&gt;0),RANK(W30,W$3:W$36)-SUMPRODUCT(($D$3:$D$36&lt;&gt;$D30)*(W$3:W$36&gt;W30)),IF(($D30="s"),COUNTIFS($D$3:$D$36,"=S",W$3:W$36,"&gt;0"),COUNTIFS($D$3:$D$36,"=J",W$3:W$36,"&gt;0"))+PARTICIPANTS!$E$41),PARTICIPANTS!$E$39+PARTICIPANTS!$E$41 ))</f>
        <v>14</v>
      </c>
      <c r="W30" s="61">
        <f>(Y30*200)+(Z30*20)+X30</f>
        <v>1586</v>
      </c>
      <c r="X30" s="61">
        <f>'Lorquet Julien'!$F$41</f>
        <v>986</v>
      </c>
      <c r="Y30" s="61">
        <f>COUNTIFS('Lorquet Julien'!$E$3:$E$40,"=S")</f>
        <v>3</v>
      </c>
      <c r="Z30" s="127">
        <f>COUNTIFS('Lorquet Julien'!$E$3:$E$40,"=A")</f>
        <v>0</v>
      </c>
      <c r="AA30" s="120">
        <f>VLOOKUP($C30,Rotations!$C$6:$G$37,5,FALSE)</f>
        <v>11</v>
      </c>
      <c r="AB30" s="61">
        <f>IF(($D30="S"),IF(PARTICIPANTS!$E29="P",IF((AC30&gt;0),RANK(AC30,AC$3:AC$36)-SUMPRODUCT(($D$3:$D$36&lt;&gt;$D30)*(AC$3:AC$36&gt;AC30)),IF(($D30="s"),COUNTIFS($D$3:$D$36,"=S",AC$3:AC$36,"&gt;0"),COUNTIFS($D$3:$D$36,"=J",AC$3:AC$36,"&gt;0"))+PARTICIPANTS!$B$41),PARTICIPANTS!$B$39+PARTICIPANTS!$B$41 ),IF(PARTICIPANTS!$E29="P",IF((AC30&gt;0),RANK(AC30,AC$3:AC$36)-SUMPRODUCT(($D$3:$D$36&lt;&gt;$D30)*(AC$3:AC$36&gt;AC30)),IF(($D30="s"),COUNTIFS($D$3:$D$36,"=S",AC$3:AC$36,"&gt;0"),COUNTIFS($D$3:$D$36,"=J",AC$3:AC$36,"&gt;0"))+PARTICIPANTS!$E$41),PARTICIPANTS!$E$39+PARTICIPANTS!$E$41 ))</f>
        <v>1</v>
      </c>
      <c r="AC30" s="61">
        <f>(AE30*200)+(AF30*20)+AD30</f>
        <v>3045</v>
      </c>
      <c r="AD30" s="61">
        <f>'Lorquet Julien'!$H$41</f>
        <v>1845</v>
      </c>
      <c r="AE30" s="61">
        <f>COUNTIFS('Lorquet Julien'!$G$3:$G$40,"=S")</f>
        <v>6</v>
      </c>
      <c r="AF30" s="127">
        <f>COUNTIFS('Lorquet Julien'!$G$3:$G$40,"=A")</f>
        <v>0</v>
      </c>
    </row>
    <row r="31" spans="1:32" s="63" customFormat="1" ht="13.5" thickBot="1" x14ac:dyDescent="0.25">
      <c r="A31" s="64">
        <f>RANK(E31,$E$3:$E$36,1)</f>
        <v>18</v>
      </c>
      <c r="B31" s="65">
        <v>29</v>
      </c>
      <c r="C31" s="66" t="str">
        <f>VLOOKUP($B31,PARTICIPANTS!$B$1:$E$35,2,FALSE)</f>
        <v>Marchais Philippe</v>
      </c>
      <c r="D31" s="66" t="str">
        <f>VLOOKUP($B31,PARTICIPANTS!$B$1:$E$35,3,FALSE)</f>
        <v>S</v>
      </c>
      <c r="E31" s="84">
        <f>SUM(J31,P31,V31,AB31)+F31</f>
        <v>77</v>
      </c>
      <c r="F31" s="67">
        <v>0</v>
      </c>
      <c r="G31" s="67">
        <f>K31+Q31+W31+AC31</f>
        <v>3432</v>
      </c>
      <c r="H31" s="109">
        <f>M31+N31+S31+T31+Y31+Z31+AE31+AF31</f>
        <v>7</v>
      </c>
      <c r="I31" s="120">
        <f>VLOOKUP($C31,Rotations!$C$6:$G$37,2,FALSE)</f>
        <v>20</v>
      </c>
      <c r="J31" s="61">
        <f>IF(($D31="S"),IF(PARTICIPANTS!$E30="P",IF((K31&gt;0),RANK(K31,K$3:K$36)-SUMPRODUCT(($D$3:$D$36&lt;&gt;$D31)*(K$3:K$36&gt;K31)),IF(($D31="s"),COUNTIFS($D$3:$D$36,"=S",K$3:K$36,"&gt;0"),COUNTIFS($D$3:$D$36,"=J",K$3:K$36,"&gt;0"))+PARTICIPANTS!$B$41),PARTICIPANTS!$B$39+PARTICIPANTS!$B$41 ),IF(PARTICIPANTS!$E30="P",IF((K31&gt;0),RANK(K31,K$3:K$27)-SUMPRODUCT(($D$3:$D$36&lt;&gt;$D31)*(K$3:K$36&gt;K31)),IF(($D31="s"),COUNTIFS($D$3:$D$36,"=S",K$3:K$27,"&gt;0"),COUNTIFS($D$3:$D$36,"=J",K$3:K$36,"&gt;0"))+PARTICIPANTS!$E$41),PARTICIPANTS!$E$39+PARTICIPANTS!$E$41 ))</f>
        <v>23</v>
      </c>
      <c r="K31" s="61">
        <f>(M31*200)+(N31*10)+L31</f>
        <v>530</v>
      </c>
      <c r="L31" s="61">
        <f>'Marchais Philippe'!$B$41</f>
        <v>330</v>
      </c>
      <c r="M31" s="62">
        <f>COUNTIFS('Marchais Philippe'!$A$3:$A$40,"=S")</f>
        <v>1</v>
      </c>
      <c r="N31" s="121">
        <f>COUNTIFS('Marchais Philippe'!$A$3:$A$40,"=A")</f>
        <v>0</v>
      </c>
      <c r="O31" s="120">
        <f>VLOOKUP($C31,Rotations!$C$6:$G$37,3,FALSE)</f>
        <v>23</v>
      </c>
      <c r="P31" s="61">
        <f>IF(($D31="S"),IF(PARTICIPANTS!$E30="P",IF((Q31&gt;0),RANK(Q31,Q$3:Q$36)-SUMPRODUCT(($D$3:$D$36&lt;&gt;$D31)*(Q$3:Q$36&gt;Q31)),IF(($D31="s"),COUNTIFS($D$3:$D$36,"=S",Q$3:Q$36,"&gt;0"),COUNTIFS($D$3:$D$36,"=J",Q$3:Q$36,"&gt;0"))+PARTICIPANTS!$B$41),PARTICIPANTS!$B$39+PARTICIPANTS!$B$41 ),IF(PARTICIPANTS!$E30="P",IF((Q31&gt;0),RANK(Q31,Q$3:Q$36)-SUMPRODUCT(($D$3:$D$36&lt;&gt;$D31)*(Q$3:Q$36&gt;Q31)),IF(($D31="s"),COUNTIFS($D$3:$D$36,"=S",Q$3:Q$36,"&gt;0"),COUNTIFS($D$3:$D$36,"=J",Q$3:Q$36,"&gt;0"))+PARTICIPANTS!$E$41),PARTICIPANTS!$E$39+PARTICIPANTS!$E$41 ))</f>
        <v>22</v>
      </c>
      <c r="Q31" s="61">
        <f>(S31*200)+(T31*10)+R31</f>
        <v>530</v>
      </c>
      <c r="R31" s="61">
        <f>'Marchais Philippe'!$D$41</f>
        <v>330</v>
      </c>
      <c r="S31" s="61">
        <f>COUNTIFS('Marchais Philippe'!$C$3:$C$40,"=S")</f>
        <v>1</v>
      </c>
      <c r="T31" s="127">
        <f>COUNTIFS('Marchais Philippe'!$C$3:$C$40,"=A")</f>
        <v>0</v>
      </c>
      <c r="U31" s="120">
        <f>VLOOKUP($C31,Rotations!$C$6:$G$37,4,FALSE)</f>
        <v>4</v>
      </c>
      <c r="V31" s="61">
        <f>IF(($D31="S"),IF(PARTICIPANTS!$E30="P",IF((W31&gt;0),RANK(W31,W$3:W$36)-SUMPRODUCT(($D$3:$D$36&lt;&gt;$D31)*(W$3:W$36&gt;W31)),IF(($D31="s"),COUNTIFS($D$3:$D$36,"=S",W$3:W$36,"&gt;0"),COUNTIFS($D$3:$D$36,"=J",W$3:W$36,"&gt;0"))+PARTICIPANTS!$B$41),PARTICIPANTS!$B$39+PARTICIPANTS!$B$41 ),IF(PARTICIPANTS!$E30="P",IF((W31&gt;0),RANK(W31,W$3:W$36)-SUMPRODUCT(($D$3:$D$36&lt;&gt;$D31)*(W$3:W$36&gt;W31)),IF(($D31="s"),COUNTIFS($D$3:$D$36,"=S",W$3:W$36,"&gt;0"),COUNTIFS($D$3:$D$36,"=J",W$3:W$36,"&gt;0"))+PARTICIPANTS!$E$41),PARTICIPANTS!$E$39+PARTICIPANTS!$E$41 ))</f>
        <v>18</v>
      </c>
      <c r="W31" s="61">
        <f>(Y31*200)+(Z31*20)+X31</f>
        <v>1051</v>
      </c>
      <c r="X31" s="61">
        <f>'Marchais Philippe'!$F$41</f>
        <v>651</v>
      </c>
      <c r="Y31" s="61">
        <f>COUNTIFS('Marchais Philippe'!$E$3:$E$40,"=S")</f>
        <v>2</v>
      </c>
      <c r="Z31" s="127">
        <f>COUNTIFS('Marchais Philippe'!$E$3:$E$40,"=A")</f>
        <v>0</v>
      </c>
      <c r="AA31" s="120">
        <f>VLOOKUP($C31,Rotations!$C$6:$G$37,5,FALSE)</f>
        <v>1</v>
      </c>
      <c r="AB31" s="61">
        <f>IF(($D31="S"),IF(PARTICIPANTS!$E30="P",IF((AC31&gt;0),RANK(AC31,AC$3:AC$36)-SUMPRODUCT(($D$3:$D$36&lt;&gt;$D31)*(AC$3:AC$36&gt;AC31)),IF(($D31="s"),COUNTIFS($D$3:$D$36,"=S",AC$3:AC$36,"&gt;0"),COUNTIFS($D$3:$D$36,"=J",AC$3:AC$36,"&gt;0"))+PARTICIPANTS!$B$41),PARTICIPANTS!$B$39+PARTICIPANTS!$B$41 ),IF(PARTICIPANTS!$E30="P",IF((AC31&gt;0),RANK(AC31,AC$3:AC$36)-SUMPRODUCT(($D$3:$D$36&lt;&gt;$D31)*(AC$3:AC$36&gt;AC31)),IF(($D31="s"),COUNTIFS($D$3:$D$36,"=S",AC$3:AC$36,"&gt;0"),COUNTIFS($D$3:$D$36,"=J",AC$3:AC$36,"&gt;0"))+PARTICIPANTS!$E$41),PARTICIPANTS!$E$39+PARTICIPANTS!$E$41 ))</f>
        <v>14</v>
      </c>
      <c r="AC31" s="61">
        <f>(AE31*200)+(AF31*20)+AD31</f>
        <v>1321</v>
      </c>
      <c r="AD31" s="61">
        <f>'Marchais Philippe'!$H$41</f>
        <v>721</v>
      </c>
      <c r="AE31" s="61">
        <f>COUNTIFS('Marchais Philippe'!$G$3:$G$40,"=S")</f>
        <v>3</v>
      </c>
      <c r="AF31" s="127">
        <f>COUNTIFS('Marchais Philippe'!$G$3:$G$40,"=A")</f>
        <v>0</v>
      </c>
    </row>
    <row r="32" spans="1:32" s="63" customFormat="1" ht="13.5" thickBot="1" x14ac:dyDescent="0.25">
      <c r="A32" s="64">
        <f>RANK(E32,$E$3:$E$36,1)</f>
        <v>6</v>
      </c>
      <c r="B32" s="65">
        <v>30</v>
      </c>
      <c r="C32" s="66" t="str">
        <f>VLOOKUP($B32,PARTICIPANTS!$B$1:$E$35,2,FALSE)</f>
        <v>Mathieu Vincent</v>
      </c>
      <c r="D32" s="66" t="str">
        <f>VLOOKUP($B32,PARTICIPANTS!$B$1:$E$35,3,FALSE)</f>
        <v>S</v>
      </c>
      <c r="E32" s="84">
        <f>SUM(J32,P32,V32,AB32)+F32</f>
        <v>47</v>
      </c>
      <c r="F32" s="67">
        <v>0</v>
      </c>
      <c r="G32" s="67">
        <f>K32+Q32+W32+AC32</f>
        <v>6760</v>
      </c>
      <c r="H32" s="109">
        <f>M32+N32+S32+T32+Y32+Z32+AE32+AF32</f>
        <v>14</v>
      </c>
      <c r="I32" s="120">
        <f>VLOOKUP($C32,Rotations!$C$6:$G$37,2,FALSE)</f>
        <v>10</v>
      </c>
      <c r="J32" s="61">
        <f>IF(($D32="S"),IF(PARTICIPANTS!$E31="P",IF((K32&gt;0),RANK(K32,K$3:K$36)-SUMPRODUCT(($D$3:$D$36&lt;&gt;$D32)*(K$3:K$36&gt;K32)),IF(($D32="s"),COUNTIFS($D$3:$D$36,"=S",K$3:K$36,"&gt;0"),COUNTIFS($D$3:$D$36,"=J",K$3:K$36,"&gt;0"))+PARTICIPANTS!$B$41),PARTICIPANTS!$B$39+PARTICIPANTS!$B$41 ),IF(PARTICIPANTS!$E31="P",IF((K32&gt;0),RANK(K32,K$3:K$27)-SUMPRODUCT(($D$3:$D$36&lt;&gt;$D32)*(K$3:K$36&gt;K32)),IF(($D32="s"),COUNTIFS($D$3:$D$36,"=S",K$3:K$27,"&gt;0"),COUNTIFS($D$3:$D$36,"=J",K$3:K$36,"&gt;0"))+PARTICIPANTS!$E$41),PARTICIPANTS!$E$39+PARTICIPANTS!$E$41 ))</f>
        <v>5</v>
      </c>
      <c r="K32" s="61">
        <f>(M32*200)+(N32*10)+L32</f>
        <v>2826</v>
      </c>
      <c r="L32" s="61">
        <f>'Mathieu Vincent'!$B$41</f>
        <v>1626</v>
      </c>
      <c r="M32" s="62">
        <f>COUNTIFS('Mathieu Vincent'!$A$3:$A$40,"=S")</f>
        <v>6</v>
      </c>
      <c r="N32" s="121">
        <f>COUNTIFS('Mathieu Vincent'!$A$3:$A$40,"=A")</f>
        <v>0</v>
      </c>
      <c r="O32" s="120">
        <f>VLOOKUP($C32,Rotations!$C$6:$G$37,3,FALSE)</f>
        <v>8</v>
      </c>
      <c r="P32" s="61">
        <f>IF(($D32="S"),IF(PARTICIPANTS!$E31="P",IF((Q32&gt;0),RANK(Q32,Q$3:Q$36)-SUMPRODUCT(($D$3:$D$36&lt;&gt;$D32)*(Q$3:Q$36&gt;Q32)),IF(($D32="s"),COUNTIFS($D$3:$D$36,"=S",Q$3:Q$36,"&gt;0"),COUNTIFS($D$3:$D$36,"=J",Q$3:Q$36,"&gt;0"))+PARTICIPANTS!$B$41),PARTICIPANTS!$B$39+PARTICIPANTS!$B$41 ),IF(PARTICIPANTS!$E31="P",IF((Q32&gt;0),RANK(Q32,Q$3:Q$36)-SUMPRODUCT(($D$3:$D$36&lt;&gt;$D32)*(Q$3:Q$36&gt;Q32)),IF(($D32="s"),COUNTIFS($D$3:$D$36,"=S",Q$3:Q$36,"&gt;0"),COUNTIFS($D$3:$D$36,"=J",Q$3:Q$36,"&gt;0"))+PARTICIPANTS!$E$41),PARTICIPANTS!$E$39+PARTICIPANTS!$E$41 ))</f>
        <v>16</v>
      </c>
      <c r="Q32" s="61">
        <f>(S32*200)+(T32*10)+R32</f>
        <v>1042</v>
      </c>
      <c r="R32" s="61">
        <f>'Mathieu Vincent'!$D$41</f>
        <v>642</v>
      </c>
      <c r="S32" s="61">
        <f>COUNTIFS('Mathieu Vincent'!$C$3:$C$40,"=S")</f>
        <v>2</v>
      </c>
      <c r="T32" s="127">
        <f>COUNTIFS('Mathieu Vincent'!$C$3:$C$40,"=A")</f>
        <v>0</v>
      </c>
      <c r="U32" s="120">
        <f>VLOOKUP($C32,Rotations!$C$6:$G$37,4,FALSE)</f>
        <v>26</v>
      </c>
      <c r="V32" s="61">
        <f>IF(($D32="S"),IF(PARTICIPANTS!$E31="P",IF((W32&gt;0),RANK(W32,W$3:W$36)-SUMPRODUCT(($D$3:$D$36&lt;&gt;$D32)*(W$3:W$36&gt;W32)),IF(($D32="s"),COUNTIFS($D$3:$D$36,"=S",W$3:W$36,"&gt;0"),COUNTIFS($D$3:$D$36,"=J",W$3:W$36,"&gt;0"))+PARTICIPANTS!$B$41),PARTICIPANTS!$B$39+PARTICIPANTS!$B$41 ),IF(PARTICIPANTS!$E31="P",IF((W32&gt;0),RANK(W32,W$3:W$36)-SUMPRODUCT(($D$3:$D$36&lt;&gt;$D32)*(W$3:W$36&gt;W32)),IF(($D32="s"),COUNTIFS($D$3:$D$36,"=S",W$3:W$36,"&gt;0"),COUNTIFS($D$3:$D$36,"=J",W$3:W$36,"&gt;0"))+PARTICIPANTS!$E$41),PARTICIPANTS!$E$39+PARTICIPANTS!$E$41 ))</f>
        <v>10</v>
      </c>
      <c r="W32" s="61">
        <f>(Y32*200)+(Z32*20)+X32</f>
        <v>1877</v>
      </c>
      <c r="X32" s="61">
        <f>'Mathieu Vincent'!$F$41</f>
        <v>1077</v>
      </c>
      <c r="Y32" s="61">
        <f>COUNTIFS('Mathieu Vincent'!$E$3:$E$40,"=S")</f>
        <v>4</v>
      </c>
      <c r="Z32" s="127">
        <f>COUNTIFS('Mathieu Vincent'!$E$3:$E$40,"=A")</f>
        <v>0</v>
      </c>
      <c r="AA32" s="120">
        <f>VLOOKUP($C32,Rotations!$C$6:$G$37,5,FALSE)</f>
        <v>30</v>
      </c>
      <c r="AB32" s="61">
        <f>IF(($D32="S"),IF(PARTICIPANTS!$E31="P",IF((AC32&gt;0),RANK(AC32,AC$3:AC$36)-SUMPRODUCT(($D$3:$D$36&lt;&gt;$D32)*(AC$3:AC$36&gt;AC32)),IF(($D32="s"),COUNTIFS($D$3:$D$36,"=S",AC$3:AC$36,"&gt;0"),COUNTIFS($D$3:$D$36,"=J",AC$3:AC$36,"&gt;0"))+PARTICIPANTS!$B$41),PARTICIPANTS!$B$39+PARTICIPANTS!$B$41 ),IF(PARTICIPANTS!$E31="P",IF((AC32&gt;0),RANK(AC32,AC$3:AC$36)-SUMPRODUCT(($D$3:$D$36&lt;&gt;$D32)*(AC$3:AC$36&gt;AC32)),IF(($D32="s"),COUNTIFS($D$3:$D$36,"=S",AC$3:AC$36,"&gt;0"),COUNTIFS($D$3:$D$36,"=J",AC$3:AC$36,"&gt;0"))+PARTICIPANTS!$E$41),PARTICIPANTS!$E$39+PARTICIPANTS!$E$41 ))</f>
        <v>16</v>
      </c>
      <c r="AC32" s="61">
        <f>(AE32*200)+(AF32*20)+AD32</f>
        <v>1015</v>
      </c>
      <c r="AD32" s="61">
        <f>'Mathieu Vincent'!$H$41</f>
        <v>615</v>
      </c>
      <c r="AE32" s="61">
        <f>COUNTIFS('Mathieu Vincent'!$G$3:$G$40,"=S")</f>
        <v>2</v>
      </c>
      <c r="AF32" s="127">
        <f>COUNTIFS('Mathieu Vincent'!$G$3:$G$40,"=A")</f>
        <v>0</v>
      </c>
    </row>
    <row r="33" spans="1:32" s="63" customFormat="1" ht="13.5" thickBot="1" x14ac:dyDescent="0.25">
      <c r="A33" s="64">
        <f>RANK(E33,$E$3:$E$36,1)</f>
        <v>15</v>
      </c>
      <c r="B33" s="65">
        <v>31</v>
      </c>
      <c r="C33" s="66" t="str">
        <f>VLOOKUP($B33,PARTICIPANTS!$B$1:$E$35,2,FALSE)</f>
        <v>Mathieu Christian</v>
      </c>
      <c r="D33" s="66" t="str">
        <f>VLOOKUP($B33,PARTICIPANTS!$B$1:$E$35,3,FALSE)</f>
        <v>S</v>
      </c>
      <c r="E33" s="84">
        <f>SUM(J33,P33,V33,AB33)+F33</f>
        <v>72</v>
      </c>
      <c r="F33" s="67">
        <v>0</v>
      </c>
      <c r="G33" s="67">
        <f>K33+Q33+W33+AC33</f>
        <v>4508</v>
      </c>
      <c r="H33" s="109">
        <f>M33+N33+S33+T33+Y33+Z33+AE33+AF33</f>
        <v>9</v>
      </c>
      <c r="I33" s="120">
        <f>VLOOKUP($C33,Rotations!$C$6:$G$37,2,FALSE)</f>
        <v>25</v>
      </c>
      <c r="J33" s="61">
        <f>IF(($D33="S"),IF(PARTICIPANTS!$E32="P",IF((K33&gt;0),RANK(K33,K$3:K$36)-SUMPRODUCT(($D$3:$D$36&lt;&gt;$D33)*(K$3:K$36&gt;K33)),IF(($D33="s"),COUNTIFS($D$3:$D$36,"=S",K$3:K$36,"&gt;0"),COUNTIFS($D$3:$D$36,"=J",K$3:K$36,"&gt;0"))+PARTICIPANTS!$B$41),PARTICIPANTS!$B$39+PARTICIPANTS!$B$41 ),IF(PARTICIPANTS!$E32="P",IF((K33&gt;0),RANK(K33,K$3:K$27)-SUMPRODUCT(($D$3:$D$36&lt;&gt;$D33)*(K$3:K$36&gt;K33)),IF(($D33="s"),COUNTIFS($D$3:$D$36,"=S",K$3:K$27,"&gt;0"),COUNTIFS($D$3:$D$36,"=J",K$3:K$36,"&gt;0"))+PARTICIPANTS!$E$41),PARTICIPANTS!$E$39+PARTICIPANTS!$E$41 ))</f>
        <v>24</v>
      </c>
      <c r="K33" s="61">
        <f>(M33*200)+(N33*10)+L33</f>
        <v>525</v>
      </c>
      <c r="L33" s="61">
        <f>'Mathieu Christian'!$B$41</f>
        <v>325</v>
      </c>
      <c r="M33" s="62">
        <f>COUNTIFS('Mathieu Christian'!$A$3:$A$40,"=S")</f>
        <v>1</v>
      </c>
      <c r="N33" s="121">
        <f>COUNTIFS('Mathieu Christian'!$A$3:$A$40,"=A")</f>
        <v>0</v>
      </c>
      <c r="O33" s="120">
        <f>VLOOKUP($C33,Rotations!$C$6:$G$37,3,FALSE)</f>
        <v>29</v>
      </c>
      <c r="P33" s="61">
        <f>IF(($D33="S"),IF(PARTICIPANTS!$E32="P",IF((Q33&gt;0),RANK(Q33,Q$3:Q$36)-SUMPRODUCT(($D$3:$D$36&lt;&gt;$D33)*(Q$3:Q$36&gt;Q33)),IF(($D33="s"),COUNTIFS($D$3:$D$36,"=S",Q$3:Q$36,"&gt;0"),COUNTIFS($D$3:$D$36,"=J",Q$3:Q$36,"&gt;0"))+PARTICIPANTS!$B$41),PARTICIPANTS!$B$39+PARTICIPANTS!$B$41 ),IF(PARTICIPANTS!$E32="P",IF((Q33&gt;0),RANK(Q33,Q$3:Q$36)-SUMPRODUCT(($D$3:$D$36&lt;&gt;$D33)*(Q$3:Q$36&gt;Q33)),IF(($D33="s"),COUNTIFS($D$3:$D$36,"=S",Q$3:Q$36,"&gt;0"),COUNTIFS($D$3:$D$36,"=J",Q$3:Q$36,"&gt;0"))+PARTICIPANTS!$E$41),PARTICIPANTS!$E$39+PARTICIPANTS!$E$41 ))</f>
        <v>25</v>
      </c>
      <c r="Q33" s="61">
        <f>(S33*200)+(T33*10)+R33</f>
        <v>453</v>
      </c>
      <c r="R33" s="61">
        <f>'Mathieu Christian'!$D$41</f>
        <v>253</v>
      </c>
      <c r="S33" s="61">
        <f>COUNTIFS('Mathieu Christian'!$C$3:$C$40,"=S")</f>
        <v>1</v>
      </c>
      <c r="T33" s="127">
        <f>COUNTIFS('Mathieu Christian'!$C$3:$C$40,"=A")</f>
        <v>0</v>
      </c>
      <c r="U33" s="120">
        <f>VLOOKUP($C33,Rotations!$C$6:$G$37,4,FALSE)</f>
        <v>9</v>
      </c>
      <c r="V33" s="61">
        <f>IF(($D33="S"),IF(PARTICIPANTS!$E32="P",IF((W33&gt;0),RANK(W33,W$3:W$36)-SUMPRODUCT(($D$3:$D$36&lt;&gt;$D33)*(W$3:W$36&gt;W33)),IF(($D33="s"),COUNTIFS($D$3:$D$36,"=S",W$3:W$36,"&gt;0"),COUNTIFS($D$3:$D$36,"=J",W$3:W$36,"&gt;0"))+PARTICIPANTS!$B$41),PARTICIPANTS!$B$39+PARTICIPANTS!$B$41 ),IF(PARTICIPANTS!$E32="P",IF((W33&gt;0),RANK(W33,W$3:W$36)-SUMPRODUCT(($D$3:$D$36&lt;&gt;$D33)*(W$3:W$36&gt;W33)),IF(($D33="s"),COUNTIFS($D$3:$D$36,"=S",W$3:W$36,"&gt;0"),COUNTIFS($D$3:$D$36,"=J",W$3:W$36,"&gt;0"))+PARTICIPANTS!$E$41),PARTICIPANTS!$E$39+PARTICIPANTS!$E$41 ))</f>
        <v>16</v>
      </c>
      <c r="W33" s="61">
        <f>(Y33*200)+(Z33*20)+X33</f>
        <v>1436</v>
      </c>
      <c r="X33" s="61">
        <f>'Mathieu Christian'!$F$41</f>
        <v>836</v>
      </c>
      <c r="Y33" s="61">
        <f>COUNTIFS('Mathieu Christian'!$E$3:$E$40,"=S")</f>
        <v>3</v>
      </c>
      <c r="Z33" s="127">
        <f>COUNTIFS('Mathieu Christian'!$E$3:$E$40,"=A")</f>
        <v>0</v>
      </c>
      <c r="AA33" s="120">
        <f>VLOOKUP($C33,Rotations!$C$6:$G$37,5,FALSE)</f>
        <v>7</v>
      </c>
      <c r="AB33" s="61">
        <f>IF(($D33="S"),IF(PARTICIPANTS!$E32="P",IF((AC33&gt;0),RANK(AC33,AC$3:AC$36)-SUMPRODUCT(($D$3:$D$36&lt;&gt;$D33)*(AC$3:AC$36&gt;AC33)),IF(($D33="s"),COUNTIFS($D$3:$D$36,"=S",AC$3:AC$36,"&gt;0"),COUNTIFS($D$3:$D$36,"=J",AC$3:AC$36,"&gt;0"))+PARTICIPANTS!$B$41),PARTICIPANTS!$B$39+PARTICIPANTS!$B$41 ),IF(PARTICIPANTS!$E32="P",IF((AC33&gt;0),RANK(AC33,AC$3:AC$36)-SUMPRODUCT(($D$3:$D$36&lt;&gt;$D33)*(AC$3:AC$36&gt;AC33)),IF(($D33="s"),COUNTIFS($D$3:$D$36,"=S",AC$3:AC$36,"&gt;0"),COUNTIFS($D$3:$D$36,"=J",AC$3:AC$36,"&gt;0"))+PARTICIPANTS!$E$41),PARTICIPANTS!$E$39+PARTICIPANTS!$E$41 ))</f>
        <v>7</v>
      </c>
      <c r="AC33" s="61">
        <f>(AE33*200)+(AF33*20)+AD33</f>
        <v>2094</v>
      </c>
      <c r="AD33" s="61">
        <f>'Mathieu Christian'!$H$41</f>
        <v>1294</v>
      </c>
      <c r="AE33" s="61">
        <f>COUNTIFS('Mathieu Christian'!$G$3:$G$40,"=S")</f>
        <v>4</v>
      </c>
      <c r="AF33" s="127">
        <f>COUNTIFS('Mathieu Christian'!$G$3:$G$40,"=A")</f>
        <v>0</v>
      </c>
    </row>
    <row r="34" spans="1:32" s="63" customFormat="1" ht="13.5" thickBot="1" x14ac:dyDescent="0.25">
      <c r="A34" s="64">
        <f>RANK(E34,$E$3:$E$36,1)</f>
        <v>24</v>
      </c>
      <c r="B34" s="65">
        <v>32</v>
      </c>
      <c r="C34" s="66" t="str">
        <f>VLOOKUP($B34,PARTICIPANTS!$B$1:$E$35,2,FALSE)</f>
        <v>Ruisseau Olivier</v>
      </c>
      <c r="D34" s="66" t="str">
        <f>VLOOKUP($B34,PARTICIPANTS!$B$1:$E$35,3,FALSE)</f>
        <v>S</v>
      </c>
      <c r="E34" s="84">
        <f>SUM(J34,P34,V34,AB34)+F34</f>
        <v>88</v>
      </c>
      <c r="F34" s="67">
        <v>0</v>
      </c>
      <c r="G34" s="67">
        <f>K34+Q34+W34+AC34</f>
        <v>2779</v>
      </c>
      <c r="H34" s="109">
        <f>M34+N34+S34+T34+Y34+Z34+AE34+AF34</f>
        <v>6</v>
      </c>
      <c r="I34" s="120">
        <f>VLOOKUP($C34,Rotations!$C$6:$G$37,2,FALSE)</f>
        <v>1</v>
      </c>
      <c r="J34" s="61">
        <f>IF(($D34="S"),IF(PARTICIPANTS!$E33="P",IF((K34&gt;0),RANK(K34,K$3:K$36)-SUMPRODUCT(($D$3:$D$36&lt;&gt;$D34)*(K$3:K$36&gt;K34)),IF(($D34="s"),COUNTIFS($D$3:$D$36,"=S",K$3:K$36,"&gt;0"),COUNTIFS($D$3:$D$36,"=J",K$3:K$36,"&gt;0"))+PARTICIPANTS!$B$41),PARTICIPANTS!$B$39+PARTICIPANTS!$B$41 ),IF(PARTICIPANTS!$E33="P",IF((K34&gt;0),RANK(K34,K$3:K$27)-SUMPRODUCT(($D$3:$D$36&lt;&gt;$D34)*(K$3:K$36&gt;K34)),IF(($D34="s"),COUNTIFS($D$3:$D$36,"=S",K$3:K$27,"&gt;0"),COUNTIFS($D$3:$D$36,"=J",K$3:K$36,"&gt;0"))+PARTICIPANTS!$E$41),PARTICIPANTS!$E$39+PARTICIPANTS!$E$41 ))</f>
        <v>26</v>
      </c>
      <c r="K34" s="61">
        <f>(M34*200)+(N34*10)+L34</f>
        <v>453</v>
      </c>
      <c r="L34" s="61">
        <f>'Ruisseau Olivier'!$B$41</f>
        <v>253</v>
      </c>
      <c r="M34" s="62">
        <f>COUNTIFS('Ruisseau Olivier'!$A$3:$A$40,"=S")</f>
        <v>1</v>
      </c>
      <c r="N34" s="121">
        <f>COUNTIFS('Ruisseau Olivier'!$A$3:$A$40,"=A")</f>
        <v>0</v>
      </c>
      <c r="O34" s="120">
        <f>VLOOKUP($C34,Rotations!$C$6:$G$37,3,FALSE)</f>
        <v>4</v>
      </c>
      <c r="P34" s="61">
        <f>IF(($D34="S"),IF(PARTICIPANTS!$E33="P",IF((Q34&gt;0),RANK(Q34,Q$3:Q$36)-SUMPRODUCT(($D$3:$D$36&lt;&gt;$D34)*(Q$3:Q$36&gt;Q34)),IF(($D34="s"),COUNTIFS($D$3:$D$36,"=S",Q$3:Q$36,"&gt;0"),COUNTIFS($D$3:$D$36,"=J",Q$3:Q$36,"&gt;0"))+PARTICIPANTS!$B$41),PARTICIPANTS!$B$39+PARTICIPANTS!$B$41 ),IF(PARTICIPANTS!$E33="P",IF((Q34&gt;0),RANK(Q34,Q$3:Q$36)-SUMPRODUCT(($D$3:$D$36&lt;&gt;$D34)*(Q$3:Q$36&gt;Q34)),IF(($D34="s"),COUNTIFS($D$3:$D$36,"=S",Q$3:Q$36,"&gt;0"),COUNTIFS($D$3:$D$36,"=J",Q$3:Q$36,"&gt;0"))+PARTICIPANTS!$E$41),PARTICIPANTS!$E$39+PARTICIPANTS!$E$41 ))</f>
        <v>18</v>
      </c>
      <c r="Q34" s="61">
        <f>(S34*200)+(T34*10)+R34</f>
        <v>966</v>
      </c>
      <c r="R34" s="61">
        <f>'Ruisseau Olivier'!$D$41</f>
        <v>566</v>
      </c>
      <c r="S34" s="61">
        <f>COUNTIFS('Ruisseau Olivier'!$C$3:$C$40,"=S")</f>
        <v>2</v>
      </c>
      <c r="T34" s="127">
        <f>COUNTIFS('Ruisseau Olivier'!$C$3:$C$40,"=A")</f>
        <v>0</v>
      </c>
      <c r="U34" s="120">
        <f>VLOOKUP($C34,Rotations!$C$6:$G$37,4,FALSE)</f>
        <v>17</v>
      </c>
      <c r="V34" s="61">
        <f>IF(($D34="S"),IF(PARTICIPANTS!$E33="P",IF((W34&gt;0),RANK(W34,W$3:W$36)-SUMPRODUCT(($D$3:$D$36&lt;&gt;$D34)*(W$3:W$36&gt;W34)),IF(($D34="s"),COUNTIFS($D$3:$D$36,"=S",W$3:W$36,"&gt;0"),COUNTIFS($D$3:$D$36,"=J",W$3:W$36,"&gt;0"))+PARTICIPANTS!$B$41),PARTICIPANTS!$B$39+PARTICIPANTS!$B$41 ),IF(PARTICIPANTS!$E33="P",IF((W34&gt;0),RANK(W34,W$3:W$36)-SUMPRODUCT(($D$3:$D$36&lt;&gt;$D34)*(W$3:W$36&gt;W34)),IF(($D34="s"),COUNTIFS($D$3:$D$36,"=S",W$3:W$36,"&gt;0"),COUNTIFS($D$3:$D$36,"=J",W$3:W$36,"&gt;0"))+PARTICIPANTS!$E$41),PARTICIPANTS!$E$39+PARTICIPANTS!$E$41 ))</f>
        <v>20</v>
      </c>
      <c r="W34" s="61">
        <f>(Y34*200)+(Z34*20)+X34</f>
        <v>901</v>
      </c>
      <c r="X34" s="61">
        <f>'Ruisseau Olivier'!$F$41</f>
        <v>501</v>
      </c>
      <c r="Y34" s="61">
        <f>COUNTIFS('Ruisseau Olivier'!$E$3:$E$40,"=S")</f>
        <v>2</v>
      </c>
      <c r="Z34" s="127">
        <f>COUNTIFS('Ruisseau Olivier'!$E$3:$E$40,"=A")</f>
        <v>0</v>
      </c>
      <c r="AA34" s="120">
        <f>VLOOKUP($C34,Rotations!$C$6:$G$37,5,FALSE)</f>
        <v>15</v>
      </c>
      <c r="AB34" s="61">
        <f>IF(($D34="S"),IF(PARTICIPANTS!$E33="P",IF((AC34&gt;0),RANK(AC34,AC$3:AC$36)-SUMPRODUCT(($D$3:$D$36&lt;&gt;$D34)*(AC$3:AC$36&gt;AC34)),IF(($D34="s"),COUNTIFS($D$3:$D$36,"=S",AC$3:AC$36,"&gt;0"),COUNTIFS($D$3:$D$36,"=J",AC$3:AC$36,"&gt;0"))+PARTICIPANTS!$B$41),PARTICIPANTS!$B$39+PARTICIPANTS!$B$41 ),IF(PARTICIPANTS!$E33="P",IF((AC34&gt;0),RANK(AC34,AC$3:AC$36)-SUMPRODUCT(($D$3:$D$36&lt;&gt;$D34)*(AC$3:AC$36&gt;AC34)),IF(($D34="s"),COUNTIFS($D$3:$D$36,"=S",AC$3:AC$36,"&gt;0"),COUNTIFS($D$3:$D$36,"=J",AC$3:AC$36,"&gt;0"))+PARTICIPANTS!$E$41),PARTICIPANTS!$E$39+PARTICIPANTS!$E$41 ))</f>
        <v>24</v>
      </c>
      <c r="AC34" s="61">
        <f>(AE34*200)+(AF34*20)+AD34</f>
        <v>459</v>
      </c>
      <c r="AD34" s="61">
        <f>'Ruisseau Olivier'!$H$41</f>
        <v>259</v>
      </c>
      <c r="AE34" s="61">
        <f>COUNTIFS('Ruisseau Olivier'!$G$3:$G$40,"=S")</f>
        <v>1</v>
      </c>
      <c r="AF34" s="127">
        <f>COUNTIFS('Ruisseau Olivier'!$G$3:$G$40,"=A")</f>
        <v>0</v>
      </c>
    </row>
    <row r="35" spans="1:32" s="63" customFormat="1" ht="13.5" thickBot="1" x14ac:dyDescent="0.25">
      <c r="A35" s="64">
        <f>RANK(E35,$E$3:$E$36,1)</f>
        <v>1</v>
      </c>
      <c r="B35" s="65">
        <v>33</v>
      </c>
      <c r="C35" s="66" t="str">
        <f>VLOOKUP($B35,PARTICIPANTS!$B$1:$E$35,2,FALSE)</f>
        <v>Sabaut Serge</v>
      </c>
      <c r="D35" s="66" t="str">
        <f>VLOOKUP($B35,PARTICIPANTS!$B$1:$E$35,3,FALSE)</f>
        <v>S</v>
      </c>
      <c r="E35" s="84">
        <f>SUM(J35,P35,V35,AB35)+F35</f>
        <v>16</v>
      </c>
      <c r="F35" s="67">
        <v>0</v>
      </c>
      <c r="G35" s="67">
        <f>K35+Q35+W35+AC35</f>
        <v>13779</v>
      </c>
      <c r="H35" s="109">
        <f>M35+N35+S35+T35+Y35+Z35+AE35+AF35</f>
        <v>29</v>
      </c>
      <c r="I35" s="120">
        <f>VLOOKUP($C35,Rotations!$C$6:$G$37,2,FALSE)</f>
        <v>13</v>
      </c>
      <c r="J35" s="61">
        <f>IF(($D35="S"),IF(PARTICIPANTS!$E34="P",IF((K35&gt;0),RANK(K35,K$3:K$36)-SUMPRODUCT(($D$3:$D$36&lt;&gt;$D35)*(K$3:K$36&gt;K35)),IF(($D35="s"),COUNTIFS($D$3:$D$36,"=S",K$3:K$36,"&gt;0"),COUNTIFS($D$3:$D$36,"=J",K$3:K$36,"&gt;0"))+PARTICIPANTS!$B$41),PARTICIPANTS!$B$39+PARTICIPANTS!$B$41 ),IF(PARTICIPANTS!$E34="P",IF((K35&gt;0),RANK(K35,K$3:K$27)-SUMPRODUCT(($D$3:$D$36&lt;&gt;$D35)*(K$3:K$36&gt;K35)),IF(($D35="s"),COUNTIFS($D$3:$D$36,"=S",K$3:K$27,"&gt;0"),COUNTIFS($D$3:$D$36,"=J",K$3:K$36,"&gt;0"))+PARTICIPANTS!$E$41),PARTICIPANTS!$E$39+PARTICIPANTS!$E$41 ))</f>
        <v>1</v>
      </c>
      <c r="K35" s="61">
        <f>(M35*200)+(N35*10)+L35</f>
        <v>4243</v>
      </c>
      <c r="L35" s="61">
        <f>'Sabaut Serge'!$B$41</f>
        <v>2443</v>
      </c>
      <c r="M35" s="62">
        <f>COUNTIFS('Sabaut Serge'!$A$3:$A$40,"=S")</f>
        <v>9</v>
      </c>
      <c r="N35" s="121">
        <f>COUNTIFS('Sabaut Serge'!$A$3:$A$40,"=A")</f>
        <v>0</v>
      </c>
      <c r="O35" s="120">
        <f>VLOOKUP($C35,Rotations!$C$6:$G$37,3,FALSE)</f>
        <v>11</v>
      </c>
      <c r="P35" s="61">
        <f>IF(($D35="S"),IF(PARTICIPANTS!$E34="P",IF((Q35&gt;0),RANK(Q35,Q$3:Q$36)-SUMPRODUCT(($D$3:$D$36&lt;&gt;$D35)*(Q$3:Q$36&gt;Q35)),IF(($D35="s"),COUNTIFS($D$3:$D$36,"=S",Q$3:Q$36,"&gt;0"),COUNTIFS($D$3:$D$36,"=J",Q$3:Q$36,"&gt;0"))+PARTICIPANTS!$B$41),PARTICIPANTS!$B$39+PARTICIPANTS!$B$41 ),IF(PARTICIPANTS!$E34="P",IF((Q35&gt;0),RANK(Q35,Q$3:Q$36)-SUMPRODUCT(($D$3:$D$36&lt;&gt;$D35)*(Q$3:Q$36&gt;Q35)),IF(($D35="s"),COUNTIFS($D$3:$D$36,"=S",Q$3:Q$36,"&gt;0"),COUNTIFS($D$3:$D$36,"=J",Q$3:Q$36,"&gt;0"))+PARTICIPANTS!$E$41),PARTICIPANTS!$E$39+PARTICIPANTS!$E$41 ))</f>
        <v>1</v>
      </c>
      <c r="Q35" s="61">
        <f>(S35*200)+(T35*10)+R35</f>
        <v>4461</v>
      </c>
      <c r="R35" s="61">
        <f>'Sabaut Serge'!$D$41</f>
        <v>2661</v>
      </c>
      <c r="S35" s="61">
        <f>COUNTIFS('Sabaut Serge'!$C$3:$C$40,"=S")</f>
        <v>9</v>
      </c>
      <c r="T35" s="127">
        <f>COUNTIFS('Sabaut Serge'!$C$3:$C$40,"=A")</f>
        <v>0</v>
      </c>
      <c r="U35" s="120">
        <f>VLOOKUP($C35,Rotations!$C$6:$G$37,4,FALSE)</f>
        <v>29</v>
      </c>
      <c r="V35" s="61">
        <f>IF(($D35="S"),IF(PARTICIPANTS!$E34="P",IF((W35&gt;0),RANK(W35,W$3:W$36)-SUMPRODUCT(($D$3:$D$36&lt;&gt;$D35)*(W$3:W$36&gt;W35)),IF(($D35="s"),COUNTIFS($D$3:$D$36,"=S",W$3:W$36,"&gt;0"),COUNTIFS($D$3:$D$36,"=J",W$3:W$36,"&gt;0"))+PARTICIPANTS!$B$41),PARTICIPANTS!$B$39+PARTICIPANTS!$B$41 ),IF(PARTICIPANTS!$E34="P",IF((W35&gt;0),RANK(W35,W$3:W$36)-SUMPRODUCT(($D$3:$D$36&lt;&gt;$D35)*(W$3:W$36&gt;W35)),IF(($D35="s"),COUNTIFS($D$3:$D$36,"=S",W$3:W$36,"&gt;0"),COUNTIFS($D$3:$D$36,"=J",W$3:W$36,"&gt;0"))+PARTICIPANTS!$E$41),PARTICIPANTS!$E$39+PARTICIPANTS!$E$41 ))</f>
        <v>3</v>
      </c>
      <c r="W35" s="61">
        <f>(Y35*200)+(Z35*20)+X35</f>
        <v>3210</v>
      </c>
      <c r="X35" s="61">
        <f>'Sabaut Serge'!$F$41</f>
        <v>1810</v>
      </c>
      <c r="Y35" s="61">
        <f>COUNTIFS('Sabaut Serge'!$E$3:$E$40,"=S")</f>
        <v>7</v>
      </c>
      <c r="Z35" s="127">
        <f>COUNTIFS('Sabaut Serge'!$E$3:$E$40,"=A")</f>
        <v>0</v>
      </c>
      <c r="AA35" s="120">
        <f>VLOOKUP($C35,Rotations!$C$6:$G$37,5,FALSE)</f>
        <v>25</v>
      </c>
      <c r="AB35" s="61">
        <f>IF(($D35="S"),IF(PARTICIPANTS!$E34="P",IF((AC35&gt;0),RANK(AC35,AC$3:AC$36)-SUMPRODUCT(($D$3:$D$36&lt;&gt;$D35)*(AC$3:AC$36&gt;AC35)),IF(($D35="s"),COUNTIFS($D$3:$D$36,"=S",AC$3:AC$36,"&gt;0"),COUNTIFS($D$3:$D$36,"=J",AC$3:AC$36,"&gt;0"))+PARTICIPANTS!$B$41),PARTICIPANTS!$B$39+PARTICIPANTS!$B$41 ),IF(PARTICIPANTS!$E34="P",IF((AC35&gt;0),RANK(AC35,AC$3:AC$36)-SUMPRODUCT(($D$3:$D$36&lt;&gt;$D35)*(AC$3:AC$36&gt;AC35)),IF(($D35="s"),COUNTIFS($D$3:$D$36,"=S",AC$3:AC$36,"&gt;0"),COUNTIFS($D$3:$D$36,"=J",AC$3:AC$36,"&gt;0"))+PARTICIPANTS!$E$41),PARTICIPANTS!$E$39+PARTICIPANTS!$E$41 ))</f>
        <v>11</v>
      </c>
      <c r="AC35" s="61">
        <f>(AE35*200)+(AF35*20)+AD35</f>
        <v>1865</v>
      </c>
      <c r="AD35" s="61">
        <f>'Sabaut Serge'!$H$41</f>
        <v>1065</v>
      </c>
      <c r="AE35" s="61">
        <f>COUNTIFS('Sabaut Serge'!$G$3:$G$40,"=S")</f>
        <v>4</v>
      </c>
      <c r="AF35" s="127">
        <f>COUNTIFS('Sabaut Serge'!$G$3:$G$40,"=A")</f>
        <v>0</v>
      </c>
    </row>
    <row r="36" spans="1:32" s="63" customFormat="1" ht="13.5" thickBot="1" x14ac:dyDescent="0.25">
      <c r="A36" s="64">
        <f>RANK(E36,$E$3:$E$36,1)</f>
        <v>13</v>
      </c>
      <c r="B36" s="65">
        <v>34</v>
      </c>
      <c r="C36" s="66" t="str">
        <f>VLOOKUP($B36,PARTICIPANTS!$B$1:$E$35,2,FALSE)</f>
        <v>Saive Thibault</v>
      </c>
      <c r="D36" s="66" t="str">
        <f>VLOOKUP($B36,PARTICIPANTS!$B$1:$E$35,3,FALSE)</f>
        <v>S</v>
      </c>
      <c r="E36" s="84">
        <f>SUM(J36,P36,V36,AB36)+F36</f>
        <v>60</v>
      </c>
      <c r="F36" s="67">
        <v>0</v>
      </c>
      <c r="G36" s="67">
        <f>K36+Q36+W36+AC36</f>
        <v>5842</v>
      </c>
      <c r="H36" s="109">
        <f>M36+N36+S36+T36+Y36+Z36+AE36+AF36</f>
        <v>12</v>
      </c>
      <c r="I36" s="122">
        <f>VLOOKUP($C36,Rotations!$C$6:$G$37,2,FALSE)</f>
        <v>30</v>
      </c>
      <c r="J36" s="123">
        <f>IF(($D36="S"),IF(PARTICIPANTS!$E35="P",IF((K36&gt;0),RANK(K36,K$3:K$36)-SUMPRODUCT(($D$3:$D$36&lt;&gt;$D36)*(K$3:K$36&gt;K36)),IF(($D36="s"),COUNTIFS($D$3:$D$36,"=S",K$3:K$36,"&gt;0"),COUNTIFS($D$3:$D$36,"=J",K$3:K$36,"&gt;0"))+PARTICIPANTS!$B$41),PARTICIPANTS!$B$39+PARTICIPANTS!$B$41 ),IF(PARTICIPANTS!$E35="P",IF((K36&gt;0),RANK(K36,K$3:K$27)-SUMPRODUCT(($D$3:$D$36&lt;&gt;$D36)*(K$3:K$36&gt;K36)),IF(($D36="s"),COUNTIFS($D$3:$D$36,"=S",K$3:K$27,"&gt;0"),COUNTIFS($D$3:$D$36,"=J",K$3:K$36,"&gt;0"))+PARTICIPANTS!$E$41),PARTICIPANTS!$E$39+PARTICIPANTS!$E$41 ))</f>
        <v>11</v>
      </c>
      <c r="K36" s="123">
        <f>(M36*200)+(N36*10)+L36</f>
        <v>2095</v>
      </c>
      <c r="L36" s="123">
        <f>'Saive Thibault'!$B$41</f>
        <v>1295</v>
      </c>
      <c r="M36" s="124">
        <f>COUNTIFS('Saive Thibault'!$A$3:$A$40,"=S")</f>
        <v>4</v>
      </c>
      <c r="N36" s="125">
        <f>COUNTIFS('Saive Thibault'!$A$3:$A$40,"=A")</f>
        <v>0</v>
      </c>
      <c r="O36" s="122">
        <f>VLOOKUP($C36,Rotations!$C$6:$G$37,3,FALSE)</f>
        <v>26</v>
      </c>
      <c r="P36" s="123">
        <f>IF(($D36="S"),IF(PARTICIPANTS!$E35="P",IF((Q36&gt;0),RANK(Q36,Q$3:Q$36)-SUMPRODUCT(($D$3:$D$36&lt;&gt;$D36)*(Q$3:Q$36&gt;Q36)),IF(($D36="s"),COUNTIFS($D$3:$D$36,"=S",Q$3:Q$36,"&gt;0"),COUNTIFS($D$3:$D$36,"=J",Q$3:Q$36,"&gt;0"))+PARTICIPANTS!$B$41),PARTICIPANTS!$B$39+PARTICIPANTS!$B$41 ),IF(PARTICIPANTS!$E35="P",IF((Q36&gt;0),RANK(Q36,Q$3:Q$36)-SUMPRODUCT(($D$3:$D$36&lt;&gt;$D36)*(Q$3:Q$36&gt;Q36)),IF(($D36="s"),COUNTIFS($D$3:$D$36,"=S",Q$3:Q$36,"&gt;0"),COUNTIFS($D$3:$D$36,"=J",Q$3:Q$36,"&gt;0"))+PARTICIPANTS!$E$41),PARTICIPANTS!$E$39+PARTICIPANTS!$E$41 ))</f>
        <v>17</v>
      </c>
      <c r="Q36" s="123">
        <f>(S36*200)+(T36*10)+R36</f>
        <v>994</v>
      </c>
      <c r="R36" s="123">
        <f>'Saive Thibault'!$D$41</f>
        <v>594</v>
      </c>
      <c r="S36" s="123">
        <f>COUNTIFS('Saive Thibault'!$C$3:$C$40,"=S")</f>
        <v>2</v>
      </c>
      <c r="T36" s="128">
        <f>COUNTIFS('Saive Thibault'!$C$3:$C$40,"=A")</f>
        <v>0</v>
      </c>
      <c r="U36" s="122">
        <f>VLOOKUP($C36,Rotations!$C$6:$G$37,4,FALSE)</f>
        <v>14</v>
      </c>
      <c r="V36" s="123">
        <f>IF(($D36="S"),IF(PARTICIPANTS!$E35="P",IF((W36&gt;0),RANK(W36,W$3:W$36)-SUMPRODUCT(($D$3:$D$36&lt;&gt;$D36)*(W$3:W$36&gt;W36)),IF(($D36="s"),COUNTIFS($D$3:$D$36,"=S",W$3:W$36,"&gt;0"),COUNTIFS($D$3:$D$36,"=J",W$3:W$36,"&gt;0"))+PARTICIPANTS!$B$41),PARTICIPANTS!$B$39+PARTICIPANTS!$B$41 ),IF(PARTICIPANTS!$E35="P",IF((W36&gt;0),RANK(W36,W$3:W$36)-SUMPRODUCT(($D$3:$D$36&lt;&gt;$D36)*(W$3:W$36&gt;W36)),IF(($D36="s"),COUNTIFS($D$3:$D$36,"=S",W$3:W$36,"&gt;0"),COUNTIFS($D$3:$D$36,"=J",W$3:W$36,"&gt;0"))+PARTICIPANTS!$E$41),PARTICIPANTS!$E$39+PARTICIPANTS!$E$41 ))</f>
        <v>26</v>
      </c>
      <c r="W36" s="123">
        <f>(Y36*200)+(Z36*20)+X36</f>
        <v>495</v>
      </c>
      <c r="X36" s="123">
        <f>'Saive Thibault'!$F$41</f>
        <v>295</v>
      </c>
      <c r="Y36" s="123">
        <f>COUNTIFS('Saive Thibault'!$E$3:$E$40,"=S")</f>
        <v>1</v>
      </c>
      <c r="Z36" s="128">
        <f>COUNTIFS('Saive Thibault'!$E$3:$E$40,"=A")</f>
        <v>0</v>
      </c>
      <c r="AA36" s="122">
        <f>VLOOKUP($C36,Rotations!$C$6:$G$37,5,FALSE)</f>
        <v>12</v>
      </c>
      <c r="AB36" s="123">
        <f>IF(($D36="S"),IF(PARTICIPANTS!$E35="P",IF((AC36&gt;0),RANK(AC36,AC$3:AC$36)-SUMPRODUCT(($D$3:$D$36&lt;&gt;$D36)*(AC$3:AC$36&gt;AC36)),IF(($D36="s"),COUNTIFS($D$3:$D$36,"=S",AC$3:AC$36,"&gt;0"),COUNTIFS($D$3:$D$36,"=J",AC$3:AC$36,"&gt;0"))+PARTICIPANTS!$B$41),PARTICIPANTS!$B$39+PARTICIPANTS!$B$41 ),IF(PARTICIPANTS!$E35="P",IF((AC36&gt;0),RANK(AC36,AC$3:AC$36)-SUMPRODUCT(($D$3:$D$36&lt;&gt;$D36)*(AC$3:AC$36&gt;AC36)),IF(($D36="s"),COUNTIFS($D$3:$D$36,"=S",AC$3:AC$36,"&gt;0"),COUNTIFS($D$3:$D$36,"=J",AC$3:AC$36,"&gt;0"))+PARTICIPANTS!$E$41),PARTICIPANTS!$E$39+PARTICIPANTS!$E$41 ))</f>
        <v>6</v>
      </c>
      <c r="AC36" s="123">
        <f>(AE36*200)+(AF36*20)+AD36</f>
        <v>2258</v>
      </c>
      <c r="AD36" s="123">
        <f>'Saive Thibault'!$H$41</f>
        <v>1258</v>
      </c>
      <c r="AE36" s="123">
        <f>COUNTIFS('Saive Thibault'!$G$3:$G$40,"=S")</f>
        <v>5</v>
      </c>
      <c r="AF36" s="128">
        <f>COUNTIFS('Saive Thibault'!$G$3:$G$40,"=A")</f>
        <v>0</v>
      </c>
    </row>
    <row r="37" spans="1:32" s="63" customFormat="1" x14ac:dyDescent="0.2">
      <c r="A37" s="129"/>
      <c r="B37" s="129"/>
      <c r="C37" s="44" t="s">
        <v>14</v>
      </c>
      <c r="D37" s="44"/>
      <c r="E37" s="17"/>
      <c r="F37" s="17"/>
      <c r="G37" s="18"/>
      <c r="H37" s="131">
        <f>SUM(H35:H36)</f>
        <v>41</v>
      </c>
      <c r="I37" s="19"/>
      <c r="J37" s="17"/>
      <c r="K37" s="18"/>
      <c r="L37" s="18"/>
      <c r="M37" s="131">
        <f>SUM(M35:M36)</f>
        <v>13</v>
      </c>
      <c r="N37" s="131">
        <f>SUM(N35:N36)</f>
        <v>0</v>
      </c>
      <c r="O37" s="19"/>
      <c r="P37" s="17"/>
      <c r="Q37" s="18"/>
      <c r="R37" s="18"/>
      <c r="S37" s="131">
        <f>SUM(S35:S36)</f>
        <v>11</v>
      </c>
      <c r="T37" s="131">
        <f>SUM(T35:T36)</f>
        <v>0</v>
      </c>
      <c r="U37" s="19"/>
      <c r="V37" s="17"/>
      <c r="W37" s="18"/>
      <c r="X37" s="18"/>
      <c r="Y37" s="131">
        <f>SUM(Y35:Y36)</f>
        <v>8</v>
      </c>
      <c r="Z37" s="131">
        <f>SUM(Z35:Z36)</f>
        <v>0</v>
      </c>
      <c r="AA37" s="19"/>
      <c r="AB37" s="17"/>
      <c r="AC37" s="17"/>
      <c r="AD37" s="17"/>
      <c r="AE37" s="131">
        <f>SUM(AE35:AE36)</f>
        <v>9</v>
      </c>
      <c r="AF37" s="131">
        <f>SUM(AF35:AF36)</f>
        <v>0</v>
      </c>
    </row>
    <row r="38" spans="1:32" x14ac:dyDescent="0.2">
      <c r="A38" s="89"/>
      <c r="B38" s="90"/>
      <c r="C38" s="91"/>
      <c r="D38" s="91"/>
      <c r="E38" s="92"/>
      <c r="F38" s="93"/>
      <c r="G38" s="93"/>
      <c r="H38" s="94"/>
      <c r="I38" s="95"/>
      <c r="J38" s="96"/>
      <c r="K38" s="96"/>
      <c r="L38" s="96"/>
      <c r="M38" s="97"/>
      <c r="N38" s="97"/>
      <c r="O38" s="95"/>
      <c r="P38" s="96"/>
      <c r="Q38" s="96"/>
      <c r="R38" s="96"/>
      <c r="S38" s="96"/>
      <c r="T38" s="96"/>
      <c r="U38" s="95"/>
      <c r="V38" s="96"/>
      <c r="W38" s="96"/>
      <c r="X38" s="96"/>
      <c r="Y38" s="96"/>
      <c r="Z38" s="96"/>
      <c r="AA38" s="95"/>
      <c r="AB38" s="96"/>
      <c r="AC38" s="96"/>
      <c r="AD38" s="96"/>
      <c r="AE38" s="96"/>
      <c r="AF38" s="96"/>
    </row>
    <row r="39" spans="1:32" x14ac:dyDescent="0.2">
      <c r="A39" s="11"/>
      <c r="B39" s="42"/>
      <c r="C39" s="42"/>
      <c r="D39" s="42"/>
      <c r="E39" s="31"/>
      <c r="F39" s="31"/>
      <c r="G39" s="130"/>
      <c r="H39" s="31"/>
      <c r="I39" s="31"/>
      <c r="J39" s="16"/>
      <c r="K39" s="23"/>
      <c r="L39" s="132" t="s">
        <v>10</v>
      </c>
      <c r="M39" s="133"/>
      <c r="N39" s="134"/>
      <c r="O39" s="16"/>
      <c r="P39" s="16"/>
      <c r="Q39" s="23"/>
      <c r="R39" s="23"/>
      <c r="S39" s="23"/>
      <c r="T39" s="23"/>
      <c r="U39" s="23"/>
      <c r="V39" s="16"/>
      <c r="W39" s="23"/>
      <c r="X39" s="23"/>
      <c r="Y39" s="23"/>
      <c r="Z39" s="16"/>
      <c r="AA39" s="16"/>
      <c r="AB39" s="16"/>
      <c r="AC39" s="16"/>
      <c r="AD39" s="16"/>
      <c r="AE39" s="23"/>
      <c r="AF39" s="16"/>
    </row>
    <row r="42" spans="1:32" x14ac:dyDescent="0.2">
      <c r="M42"/>
      <c r="N42"/>
    </row>
  </sheetData>
  <autoFilter ref="A2:AF39">
    <sortState ref="A3:AF39">
      <sortCondition ref="B2:B39"/>
    </sortState>
  </autoFilter>
  <mergeCells count="5">
    <mergeCell ref="E1:H1"/>
    <mergeCell ref="I1:N1"/>
    <mergeCell ref="O1:T1"/>
    <mergeCell ref="U1:Z1"/>
    <mergeCell ref="AA1:AF1"/>
  </mergeCells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Header>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H41"/>
  <sheetViews>
    <sheetView zoomScaleNormal="100" workbookViewId="0">
      <selection activeCell="H4" sqref="H4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365</v>
      </c>
      <c r="C3" s="27" t="s">
        <v>24</v>
      </c>
      <c r="D3" s="27">
        <v>270</v>
      </c>
      <c r="E3" s="25" t="s">
        <v>24</v>
      </c>
      <c r="F3" s="25">
        <v>285</v>
      </c>
      <c r="G3" s="27" t="s">
        <v>24</v>
      </c>
      <c r="H3" s="27">
        <v>294</v>
      </c>
    </row>
    <row r="4" spans="1:8" x14ac:dyDescent="0.2">
      <c r="A4" s="24" t="s">
        <v>24</v>
      </c>
      <c r="B4" s="25">
        <v>255</v>
      </c>
      <c r="C4" s="27" t="s">
        <v>24</v>
      </c>
      <c r="D4" s="27">
        <v>245</v>
      </c>
      <c r="E4" s="25"/>
      <c r="F4" s="25"/>
      <c r="G4" s="27" t="s">
        <v>24</v>
      </c>
      <c r="H4" s="27">
        <v>350</v>
      </c>
    </row>
    <row r="5" spans="1:8" x14ac:dyDescent="0.2">
      <c r="A5" s="24" t="s">
        <v>24</v>
      </c>
      <c r="B5" s="25">
        <v>365</v>
      </c>
      <c r="C5" s="27" t="s">
        <v>24</v>
      </c>
      <c r="D5" s="27">
        <v>283</v>
      </c>
      <c r="E5" s="25"/>
      <c r="F5" s="25"/>
      <c r="G5" s="27"/>
      <c r="H5" s="27"/>
    </row>
    <row r="6" spans="1:8" x14ac:dyDescent="0.2">
      <c r="A6" s="24" t="s">
        <v>24</v>
      </c>
      <c r="B6" s="25">
        <v>225</v>
      </c>
      <c r="C6" s="27"/>
      <c r="D6" s="27"/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4</v>
      </c>
      <c r="B41" s="47">
        <f>SUM(B3:B40)</f>
        <v>1210</v>
      </c>
      <c r="C41" s="48">
        <f t="shared" ref="C41" si="0">COUNT(D3:D40)</f>
        <v>3</v>
      </c>
      <c r="D41" s="48">
        <f t="shared" ref="D41" si="1">SUM(D3:D40)</f>
        <v>798</v>
      </c>
      <c r="E41" s="47">
        <f t="shared" ref="E41" si="2">COUNT(F3:F40)</f>
        <v>1</v>
      </c>
      <c r="F41" s="47">
        <f t="shared" ref="F41" si="3">SUM(F3:F40)</f>
        <v>285</v>
      </c>
      <c r="G41" s="48">
        <f t="shared" ref="G41" si="4">COUNT(H3:H40)</f>
        <v>2</v>
      </c>
      <c r="H41" s="48">
        <f t="shared" ref="H41" si="5">SUM(H3:H40)</f>
        <v>644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H41"/>
  <sheetViews>
    <sheetView workbookViewId="0">
      <selection activeCell="H3" sqref="H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80" t="s">
        <v>21</v>
      </c>
      <c r="B2" s="80" t="s">
        <v>22</v>
      </c>
      <c r="C2" s="81" t="s">
        <v>21</v>
      </c>
      <c r="D2" s="81" t="s">
        <v>22</v>
      </c>
      <c r="E2" s="80" t="s">
        <v>21</v>
      </c>
      <c r="F2" s="80" t="s">
        <v>22</v>
      </c>
      <c r="G2" s="81" t="s">
        <v>21</v>
      </c>
      <c r="H2" s="81" t="s">
        <v>22</v>
      </c>
    </row>
    <row r="3" spans="1:8" x14ac:dyDescent="0.2">
      <c r="A3" s="24" t="s">
        <v>24</v>
      </c>
      <c r="B3" s="25">
        <v>315</v>
      </c>
      <c r="C3" s="27" t="s">
        <v>24</v>
      </c>
      <c r="D3" s="27">
        <v>375</v>
      </c>
      <c r="E3" s="25" t="s">
        <v>24</v>
      </c>
      <c r="F3" s="25">
        <v>354</v>
      </c>
      <c r="G3" s="27" t="s">
        <v>24</v>
      </c>
      <c r="H3" s="27">
        <v>375</v>
      </c>
    </row>
    <row r="4" spans="1:8" x14ac:dyDescent="0.2">
      <c r="A4" s="24" t="s">
        <v>24</v>
      </c>
      <c r="B4" s="25">
        <v>215</v>
      </c>
      <c r="C4" s="27" t="s">
        <v>24</v>
      </c>
      <c r="D4" s="27">
        <v>357</v>
      </c>
      <c r="E4" s="25" t="s">
        <v>24</v>
      </c>
      <c r="F4" s="25">
        <v>305</v>
      </c>
      <c r="G4" s="27"/>
      <c r="H4" s="27"/>
    </row>
    <row r="5" spans="1:8" x14ac:dyDescent="0.2">
      <c r="A5" s="24" t="s">
        <v>24</v>
      </c>
      <c r="B5" s="25">
        <v>340</v>
      </c>
      <c r="C5" s="27" t="s">
        <v>24</v>
      </c>
      <c r="D5" s="27">
        <v>280</v>
      </c>
      <c r="E5" s="25" t="s">
        <v>24</v>
      </c>
      <c r="F5" s="25">
        <v>405</v>
      </c>
      <c r="G5" s="27"/>
      <c r="H5" s="27"/>
    </row>
    <row r="6" spans="1:8" x14ac:dyDescent="0.2">
      <c r="A6" s="24"/>
      <c r="B6" s="25"/>
      <c r="C6" s="27"/>
      <c r="D6" s="27"/>
      <c r="E6" s="25" t="s">
        <v>24</v>
      </c>
      <c r="F6" s="25">
        <v>297</v>
      </c>
      <c r="G6" s="27"/>
      <c r="H6" s="27"/>
    </row>
    <row r="7" spans="1:8" x14ac:dyDescent="0.2">
      <c r="A7" s="24"/>
      <c r="B7" s="25"/>
      <c r="C7" s="27"/>
      <c r="D7" s="27"/>
      <c r="E7" s="25" t="s">
        <v>24</v>
      </c>
      <c r="F7" s="25">
        <v>260</v>
      </c>
      <c r="G7" s="27"/>
      <c r="H7" s="27"/>
    </row>
    <row r="8" spans="1:8" x14ac:dyDescent="0.2">
      <c r="A8" s="24"/>
      <c r="B8" s="25"/>
      <c r="C8" s="27"/>
      <c r="D8" s="27"/>
      <c r="E8" s="25" t="s">
        <v>24</v>
      </c>
      <c r="F8" s="25">
        <v>330</v>
      </c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80">
        <f>COUNT(B3:B40)</f>
        <v>3</v>
      </c>
      <c r="B41" s="80">
        <f>SUM(B3:B40)</f>
        <v>870</v>
      </c>
      <c r="C41" s="81">
        <f t="shared" ref="C41" si="0">COUNT(D3:D40)</f>
        <v>3</v>
      </c>
      <c r="D41" s="81">
        <f t="shared" ref="D41" si="1">SUM(D3:D40)</f>
        <v>1012</v>
      </c>
      <c r="E41" s="80">
        <f t="shared" ref="E41" si="2">COUNT(F3:F40)</f>
        <v>6</v>
      </c>
      <c r="F41" s="80">
        <f t="shared" ref="F41" si="3">SUM(F3:F40)</f>
        <v>1951</v>
      </c>
      <c r="G41" s="81">
        <f t="shared" ref="G41" si="4">COUNT(H3:H40)</f>
        <v>1</v>
      </c>
      <c r="H41" s="81">
        <f t="shared" ref="H41" si="5">SUM(H3:H40)</f>
        <v>375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H41"/>
  <sheetViews>
    <sheetView workbookViewId="0">
      <selection activeCell="H3" sqref="H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80" t="s">
        <v>21</v>
      </c>
      <c r="B2" s="80" t="s">
        <v>22</v>
      </c>
      <c r="C2" s="81" t="s">
        <v>21</v>
      </c>
      <c r="D2" s="81" t="s">
        <v>22</v>
      </c>
      <c r="E2" s="80" t="s">
        <v>21</v>
      </c>
      <c r="F2" s="80" t="s">
        <v>22</v>
      </c>
      <c r="G2" s="81" t="s">
        <v>21</v>
      </c>
      <c r="H2" s="81" t="s">
        <v>22</v>
      </c>
    </row>
    <row r="3" spans="1:8" x14ac:dyDescent="0.2">
      <c r="A3" s="24" t="s">
        <v>24</v>
      </c>
      <c r="B3" s="25">
        <v>320</v>
      </c>
      <c r="C3" s="27"/>
      <c r="D3" s="27"/>
      <c r="E3" s="25" t="s">
        <v>24</v>
      </c>
      <c r="F3" s="25">
        <v>261</v>
      </c>
      <c r="G3" s="27" t="s">
        <v>24</v>
      </c>
      <c r="H3" s="27">
        <v>203</v>
      </c>
    </row>
    <row r="4" spans="1:8" x14ac:dyDescent="0.2">
      <c r="A4" s="24" t="s">
        <v>24</v>
      </c>
      <c r="B4" s="25">
        <v>280</v>
      </c>
      <c r="C4" s="27"/>
      <c r="D4" s="27"/>
      <c r="E4" s="25" t="s">
        <v>24</v>
      </c>
      <c r="F4" s="25">
        <v>215</v>
      </c>
      <c r="G4" s="27"/>
      <c r="H4" s="27"/>
    </row>
    <row r="5" spans="1:8" x14ac:dyDescent="0.2">
      <c r="A5" s="24" t="s">
        <v>24</v>
      </c>
      <c r="B5" s="25">
        <v>270</v>
      </c>
      <c r="C5" s="27"/>
      <c r="D5" s="27"/>
      <c r="E5" s="25"/>
      <c r="F5" s="25"/>
      <c r="G5" s="27"/>
      <c r="H5" s="27"/>
    </row>
    <row r="6" spans="1:8" x14ac:dyDescent="0.2">
      <c r="A6" s="24" t="s">
        <v>24</v>
      </c>
      <c r="B6" s="25">
        <v>231</v>
      </c>
      <c r="C6" s="27"/>
      <c r="D6" s="27"/>
      <c r="E6" s="25"/>
      <c r="F6" s="25"/>
      <c r="G6" s="27"/>
      <c r="H6" s="27"/>
    </row>
    <row r="7" spans="1:8" x14ac:dyDescent="0.2">
      <c r="A7" s="24" t="s">
        <v>24</v>
      </c>
      <c r="B7" s="25">
        <v>344</v>
      </c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80">
        <f>COUNT(B3:B40)</f>
        <v>5</v>
      </c>
      <c r="B41" s="80">
        <f>SUM(B3:B40)</f>
        <v>1445</v>
      </c>
      <c r="C41" s="81">
        <f t="shared" ref="C41" si="0">COUNT(D3:D40)</f>
        <v>0</v>
      </c>
      <c r="D41" s="81">
        <f t="shared" ref="D41" si="1">SUM(D3:D40)</f>
        <v>0</v>
      </c>
      <c r="E41" s="80">
        <f t="shared" ref="E41" si="2">COUNT(F3:F40)</f>
        <v>2</v>
      </c>
      <c r="F41" s="80">
        <f t="shared" ref="F41" si="3">SUM(F3:F40)</f>
        <v>476</v>
      </c>
      <c r="G41" s="81">
        <f t="shared" ref="G41" si="4">COUNT(H3:H40)</f>
        <v>1</v>
      </c>
      <c r="H41" s="81">
        <f t="shared" ref="H41" si="5">SUM(H3:H40)</f>
        <v>203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H41"/>
  <sheetViews>
    <sheetView workbookViewId="0">
      <selection activeCell="H5" sqref="H5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80" t="s">
        <v>21</v>
      </c>
      <c r="B2" s="80" t="s">
        <v>22</v>
      </c>
      <c r="C2" s="81" t="s">
        <v>21</v>
      </c>
      <c r="D2" s="81" t="s">
        <v>22</v>
      </c>
      <c r="E2" s="80" t="s">
        <v>21</v>
      </c>
      <c r="F2" s="80" t="s">
        <v>22</v>
      </c>
      <c r="G2" s="81" t="s">
        <v>21</v>
      </c>
      <c r="H2" s="81" t="s">
        <v>22</v>
      </c>
    </row>
    <row r="3" spans="1:8" x14ac:dyDescent="0.2">
      <c r="A3" s="24" t="s">
        <v>24</v>
      </c>
      <c r="B3" s="25">
        <v>330</v>
      </c>
      <c r="C3" s="27" t="s">
        <v>24</v>
      </c>
      <c r="D3" s="27">
        <v>330</v>
      </c>
      <c r="E3" s="25" t="s">
        <v>24</v>
      </c>
      <c r="F3" s="25">
        <v>353</v>
      </c>
      <c r="G3" s="27" t="s">
        <v>24</v>
      </c>
      <c r="H3" s="27">
        <v>274</v>
      </c>
    </row>
    <row r="4" spans="1:8" x14ac:dyDescent="0.2">
      <c r="A4" s="24"/>
      <c r="B4" s="25"/>
      <c r="C4" s="27"/>
      <c r="D4" s="27"/>
      <c r="E4" s="25" t="s">
        <v>24</v>
      </c>
      <c r="F4" s="25">
        <v>298</v>
      </c>
      <c r="G4" s="27" t="s">
        <v>24</v>
      </c>
      <c r="H4" s="27">
        <v>221</v>
      </c>
    </row>
    <row r="5" spans="1:8" x14ac:dyDescent="0.2">
      <c r="A5" s="24"/>
      <c r="B5" s="25"/>
      <c r="C5" s="27"/>
      <c r="D5" s="27"/>
      <c r="E5" s="25"/>
      <c r="F5" s="25"/>
      <c r="G5" s="27" t="s">
        <v>24</v>
      </c>
      <c r="H5" s="27">
        <v>226</v>
      </c>
    </row>
    <row r="6" spans="1:8" x14ac:dyDescent="0.2">
      <c r="A6" s="24"/>
      <c r="B6" s="25"/>
      <c r="C6" s="27"/>
      <c r="D6" s="27"/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80">
        <f>COUNT(B3:B40)</f>
        <v>1</v>
      </c>
      <c r="B41" s="80">
        <f>SUM(B3:B40)</f>
        <v>330</v>
      </c>
      <c r="C41" s="81">
        <f t="shared" ref="C41" si="0">COUNT(D3:D40)</f>
        <v>1</v>
      </c>
      <c r="D41" s="81">
        <f t="shared" ref="D41" si="1">SUM(D3:D40)</f>
        <v>330</v>
      </c>
      <c r="E41" s="80">
        <f t="shared" ref="E41" si="2">COUNT(F3:F40)</f>
        <v>2</v>
      </c>
      <c r="F41" s="80">
        <f t="shared" ref="F41" si="3">SUM(F3:F40)</f>
        <v>651</v>
      </c>
      <c r="G41" s="81">
        <f t="shared" ref="G41" si="4">COUNT(H3:H40)</f>
        <v>3</v>
      </c>
      <c r="H41" s="81">
        <f t="shared" ref="H41" si="5">SUM(H3:H40)</f>
        <v>721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H41"/>
  <sheetViews>
    <sheetView workbookViewId="0">
      <selection activeCell="H8" sqref="H8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80" t="s">
        <v>21</v>
      </c>
      <c r="B2" s="80" t="s">
        <v>22</v>
      </c>
      <c r="C2" s="81" t="s">
        <v>21</v>
      </c>
      <c r="D2" s="81" t="s">
        <v>22</v>
      </c>
      <c r="E2" s="80" t="s">
        <v>21</v>
      </c>
      <c r="F2" s="80" t="s">
        <v>22</v>
      </c>
      <c r="G2" s="81" t="s">
        <v>21</v>
      </c>
      <c r="H2" s="81" t="s">
        <v>22</v>
      </c>
    </row>
    <row r="3" spans="1:8" x14ac:dyDescent="0.2">
      <c r="A3" s="24" t="s">
        <v>24</v>
      </c>
      <c r="B3" s="25">
        <v>320</v>
      </c>
      <c r="C3" s="27" t="s">
        <v>24</v>
      </c>
      <c r="D3" s="27">
        <v>300</v>
      </c>
      <c r="E3" s="25" t="s">
        <v>24</v>
      </c>
      <c r="F3" s="25">
        <v>273</v>
      </c>
      <c r="G3" s="27" t="s">
        <v>24</v>
      </c>
      <c r="H3" s="27">
        <v>205</v>
      </c>
    </row>
    <row r="4" spans="1:8" x14ac:dyDescent="0.2">
      <c r="A4" s="24" t="s">
        <v>24</v>
      </c>
      <c r="B4" s="25">
        <v>205</v>
      </c>
      <c r="C4" s="27"/>
      <c r="D4" s="27"/>
      <c r="E4" s="25" t="s">
        <v>24</v>
      </c>
      <c r="F4" s="25">
        <v>318</v>
      </c>
      <c r="G4" s="27" t="s">
        <v>24</v>
      </c>
      <c r="H4" s="27">
        <v>317</v>
      </c>
    </row>
    <row r="5" spans="1:8" x14ac:dyDescent="0.2">
      <c r="A5" s="24" t="s">
        <v>24</v>
      </c>
      <c r="B5" s="25">
        <v>243</v>
      </c>
      <c r="C5" s="27"/>
      <c r="D5" s="27"/>
      <c r="E5" s="25" t="s">
        <v>24</v>
      </c>
      <c r="F5" s="25">
        <v>395</v>
      </c>
      <c r="G5" s="27" t="s">
        <v>24</v>
      </c>
      <c r="H5" s="27">
        <v>340</v>
      </c>
    </row>
    <row r="6" spans="1:8" x14ac:dyDescent="0.2">
      <c r="A6" s="24" t="s">
        <v>24</v>
      </c>
      <c r="B6" s="25">
        <v>308</v>
      </c>
      <c r="C6" s="27"/>
      <c r="D6" s="27"/>
      <c r="E6" s="25"/>
      <c r="F6" s="25"/>
      <c r="G6" s="27" t="s">
        <v>24</v>
      </c>
      <c r="H6" s="27">
        <v>253</v>
      </c>
    </row>
    <row r="7" spans="1:8" x14ac:dyDescent="0.2">
      <c r="A7" s="24" t="s">
        <v>24</v>
      </c>
      <c r="B7" s="25">
        <v>215</v>
      </c>
      <c r="C7" s="27"/>
      <c r="D7" s="27"/>
      <c r="E7" s="25"/>
      <c r="F7" s="25"/>
      <c r="G7" s="27" t="s">
        <v>24</v>
      </c>
      <c r="H7" s="27">
        <v>370</v>
      </c>
    </row>
    <row r="8" spans="1:8" x14ac:dyDescent="0.2">
      <c r="A8" s="24" t="s">
        <v>24</v>
      </c>
      <c r="B8" s="25">
        <v>260</v>
      </c>
      <c r="C8" s="27"/>
      <c r="D8" s="27"/>
      <c r="E8" s="25"/>
      <c r="F8" s="25"/>
      <c r="G8" s="27" t="s">
        <v>24</v>
      </c>
      <c r="H8" s="27">
        <v>360</v>
      </c>
    </row>
    <row r="9" spans="1:8" x14ac:dyDescent="0.2">
      <c r="A9" s="24" t="s">
        <v>24</v>
      </c>
      <c r="B9" s="25">
        <v>310</v>
      </c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80">
        <f>COUNT(B3:B40)</f>
        <v>7</v>
      </c>
      <c r="B41" s="80">
        <f>SUM(B3:B40)</f>
        <v>1861</v>
      </c>
      <c r="C41" s="81">
        <f t="shared" ref="C41" si="0">COUNT(D3:D40)</f>
        <v>1</v>
      </c>
      <c r="D41" s="81">
        <f t="shared" ref="D41" si="1">SUM(D3:D40)</f>
        <v>300</v>
      </c>
      <c r="E41" s="80">
        <f t="shared" ref="E41" si="2">COUNT(F3:F40)</f>
        <v>3</v>
      </c>
      <c r="F41" s="80">
        <f t="shared" ref="F41" si="3">SUM(F3:F40)</f>
        <v>986</v>
      </c>
      <c r="G41" s="81">
        <f t="shared" ref="G41" si="4">COUNT(H3:H40)</f>
        <v>6</v>
      </c>
      <c r="H41" s="81">
        <f t="shared" ref="H41" si="5">SUM(H3:H40)</f>
        <v>1845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H41"/>
  <sheetViews>
    <sheetView workbookViewId="0">
      <selection activeCell="H4" sqref="H4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80" t="s">
        <v>21</v>
      </c>
      <c r="B2" s="80" t="s">
        <v>22</v>
      </c>
      <c r="C2" s="81" t="s">
        <v>21</v>
      </c>
      <c r="D2" s="81" t="s">
        <v>22</v>
      </c>
      <c r="E2" s="80" t="s">
        <v>21</v>
      </c>
      <c r="F2" s="80" t="s">
        <v>22</v>
      </c>
      <c r="G2" s="81" t="s">
        <v>21</v>
      </c>
      <c r="H2" s="81" t="s">
        <v>22</v>
      </c>
    </row>
    <row r="3" spans="1:8" x14ac:dyDescent="0.2">
      <c r="A3" s="24" t="s">
        <v>24</v>
      </c>
      <c r="B3" s="25">
        <v>220</v>
      </c>
      <c r="C3" s="27" t="s">
        <v>24</v>
      </c>
      <c r="D3" s="27">
        <v>375</v>
      </c>
      <c r="E3" s="25" t="s">
        <v>24</v>
      </c>
      <c r="F3" s="25">
        <v>222</v>
      </c>
      <c r="G3" s="27" t="s">
        <v>24</v>
      </c>
      <c r="H3" s="27">
        <v>295</v>
      </c>
    </row>
    <row r="4" spans="1:8" x14ac:dyDescent="0.2">
      <c r="A4" s="24" t="s">
        <v>24</v>
      </c>
      <c r="B4" s="25">
        <v>239</v>
      </c>
      <c r="C4" s="27" t="s">
        <v>24</v>
      </c>
      <c r="D4" s="27">
        <v>267</v>
      </c>
      <c r="E4" s="25" t="s">
        <v>24</v>
      </c>
      <c r="F4" s="25">
        <v>290</v>
      </c>
      <c r="G4" s="27" t="s">
        <v>24</v>
      </c>
      <c r="H4" s="27">
        <v>320</v>
      </c>
    </row>
    <row r="5" spans="1:8" x14ac:dyDescent="0.2">
      <c r="A5" s="24" t="s">
        <v>24</v>
      </c>
      <c r="B5" s="25">
        <v>287</v>
      </c>
      <c r="C5" s="27"/>
      <c r="D5" s="27"/>
      <c r="E5" s="25" t="s">
        <v>24</v>
      </c>
      <c r="F5" s="25">
        <v>287</v>
      </c>
      <c r="G5" s="27"/>
      <c r="H5" s="27"/>
    </row>
    <row r="6" spans="1:8" x14ac:dyDescent="0.2">
      <c r="A6" s="24" t="s">
        <v>24</v>
      </c>
      <c r="B6" s="25">
        <v>350</v>
      </c>
      <c r="C6" s="27"/>
      <c r="D6" s="27"/>
      <c r="E6" s="25" t="s">
        <v>24</v>
      </c>
      <c r="F6" s="25">
        <v>278</v>
      </c>
      <c r="G6" s="27"/>
      <c r="H6" s="27"/>
    </row>
    <row r="7" spans="1:8" x14ac:dyDescent="0.2">
      <c r="A7" s="24" t="s">
        <v>24</v>
      </c>
      <c r="B7" s="25">
        <v>330</v>
      </c>
      <c r="C7" s="27"/>
      <c r="D7" s="27"/>
      <c r="E7" s="25"/>
      <c r="F7" s="25"/>
      <c r="G7" s="27"/>
      <c r="H7" s="27"/>
    </row>
    <row r="8" spans="1:8" x14ac:dyDescent="0.2">
      <c r="A8" s="24" t="s">
        <v>24</v>
      </c>
      <c r="B8" s="25">
        <v>200</v>
      </c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80">
        <f>COUNT(B3:B40)</f>
        <v>6</v>
      </c>
      <c r="B41" s="80">
        <f>SUM(B3:B40)</f>
        <v>1626</v>
      </c>
      <c r="C41" s="81">
        <f t="shared" ref="C41" si="0">COUNT(D3:D40)</f>
        <v>2</v>
      </c>
      <c r="D41" s="81">
        <f t="shared" ref="D41" si="1">SUM(D3:D40)</f>
        <v>642</v>
      </c>
      <c r="E41" s="80">
        <f t="shared" ref="E41" si="2">COUNT(F3:F40)</f>
        <v>4</v>
      </c>
      <c r="F41" s="80">
        <f t="shared" ref="F41" si="3">SUM(F3:F40)</f>
        <v>1077</v>
      </c>
      <c r="G41" s="81">
        <f t="shared" ref="G41" si="4">COUNT(H3:H40)</f>
        <v>2</v>
      </c>
      <c r="H41" s="81">
        <f t="shared" ref="H41" si="5">SUM(H3:H40)</f>
        <v>615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H41"/>
  <sheetViews>
    <sheetView workbookViewId="0">
      <selection activeCell="H6" sqref="H6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80" t="s">
        <v>21</v>
      </c>
      <c r="B2" s="80" t="s">
        <v>22</v>
      </c>
      <c r="C2" s="81" t="s">
        <v>21</v>
      </c>
      <c r="D2" s="81" t="s">
        <v>22</v>
      </c>
      <c r="E2" s="80" t="s">
        <v>21</v>
      </c>
      <c r="F2" s="80" t="s">
        <v>22</v>
      </c>
      <c r="G2" s="81" t="s">
        <v>21</v>
      </c>
      <c r="H2" s="81" t="s">
        <v>22</v>
      </c>
    </row>
    <row r="3" spans="1:8" x14ac:dyDescent="0.2">
      <c r="A3" s="24" t="s">
        <v>24</v>
      </c>
      <c r="B3" s="25">
        <v>325</v>
      </c>
      <c r="C3" s="27" t="s">
        <v>24</v>
      </c>
      <c r="D3" s="27">
        <v>253</v>
      </c>
      <c r="E3" s="25" t="s">
        <v>24</v>
      </c>
      <c r="F3" s="25">
        <v>232</v>
      </c>
      <c r="G3" s="27" t="s">
        <v>24</v>
      </c>
      <c r="H3" s="27">
        <v>273</v>
      </c>
    </row>
    <row r="4" spans="1:8" x14ac:dyDescent="0.2">
      <c r="A4" s="24"/>
      <c r="B4" s="25"/>
      <c r="C4" s="27"/>
      <c r="D4" s="27"/>
      <c r="E4" s="25" t="s">
        <v>24</v>
      </c>
      <c r="F4" s="25">
        <v>263</v>
      </c>
      <c r="G4" s="27" t="s">
        <v>24</v>
      </c>
      <c r="H4" s="27">
        <v>395</v>
      </c>
    </row>
    <row r="5" spans="1:8" x14ac:dyDescent="0.2">
      <c r="A5" s="24"/>
      <c r="B5" s="25"/>
      <c r="C5" s="27"/>
      <c r="D5" s="27"/>
      <c r="E5" s="25" t="s">
        <v>24</v>
      </c>
      <c r="F5" s="25">
        <v>341</v>
      </c>
      <c r="G5" s="27" t="s">
        <v>24</v>
      </c>
      <c r="H5" s="27">
        <v>320</v>
      </c>
    </row>
    <row r="6" spans="1:8" x14ac:dyDescent="0.2">
      <c r="A6" s="24"/>
      <c r="B6" s="25"/>
      <c r="C6" s="27"/>
      <c r="D6" s="27"/>
      <c r="E6" s="25"/>
      <c r="F6" s="25"/>
      <c r="G6" s="27" t="s">
        <v>24</v>
      </c>
      <c r="H6" s="27">
        <v>306</v>
      </c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80">
        <f>COUNT(B3:B40)</f>
        <v>1</v>
      </c>
      <c r="B41" s="80">
        <f>SUM(B3:B40)</f>
        <v>325</v>
      </c>
      <c r="C41" s="81">
        <f t="shared" ref="C41" si="0">COUNT(D3:D40)</f>
        <v>1</v>
      </c>
      <c r="D41" s="81">
        <f t="shared" ref="D41" si="1">SUM(D3:D40)</f>
        <v>253</v>
      </c>
      <c r="E41" s="80">
        <f t="shared" ref="E41" si="2">COUNT(F3:F40)</f>
        <v>3</v>
      </c>
      <c r="F41" s="80">
        <f t="shared" ref="F41" si="3">SUM(F3:F40)</f>
        <v>836</v>
      </c>
      <c r="G41" s="81">
        <f t="shared" ref="G41" si="4">COUNT(H3:H40)</f>
        <v>4</v>
      </c>
      <c r="H41" s="81">
        <f t="shared" ref="H41" si="5">SUM(H3:H40)</f>
        <v>1294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H41"/>
  <sheetViews>
    <sheetView workbookViewId="0">
      <selection activeCell="H3" sqref="H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82" t="s">
        <v>21</v>
      </c>
      <c r="B2" s="82" t="s">
        <v>22</v>
      </c>
      <c r="C2" s="83" t="s">
        <v>21</v>
      </c>
      <c r="D2" s="83" t="s">
        <v>22</v>
      </c>
      <c r="E2" s="82" t="s">
        <v>21</v>
      </c>
      <c r="F2" s="82" t="s">
        <v>22</v>
      </c>
      <c r="G2" s="83" t="s">
        <v>21</v>
      </c>
      <c r="H2" s="83" t="s">
        <v>22</v>
      </c>
    </row>
    <row r="3" spans="1:8" x14ac:dyDescent="0.2">
      <c r="A3" s="24" t="s">
        <v>24</v>
      </c>
      <c r="B3" s="25">
        <v>253</v>
      </c>
      <c r="C3" s="27" t="s">
        <v>24</v>
      </c>
      <c r="D3" s="27">
        <v>366</v>
      </c>
      <c r="E3" s="25" t="s">
        <v>24</v>
      </c>
      <c r="F3" s="25">
        <v>285</v>
      </c>
      <c r="G3" s="27" t="s">
        <v>24</v>
      </c>
      <c r="H3" s="27">
        <v>259</v>
      </c>
    </row>
    <row r="4" spans="1:8" x14ac:dyDescent="0.2">
      <c r="A4" s="24"/>
      <c r="B4" s="25"/>
      <c r="C4" s="27" t="s">
        <v>24</v>
      </c>
      <c r="D4" s="27">
        <v>200</v>
      </c>
      <c r="E4" s="25" t="s">
        <v>24</v>
      </c>
      <c r="F4" s="25">
        <v>216</v>
      </c>
      <c r="G4" s="27"/>
      <c r="H4" s="27"/>
    </row>
    <row r="5" spans="1:8" x14ac:dyDescent="0.2">
      <c r="A5" s="24"/>
      <c r="B5" s="25"/>
      <c r="C5" s="27"/>
      <c r="D5" s="27"/>
      <c r="E5" s="25"/>
      <c r="F5" s="25"/>
      <c r="G5" s="27"/>
      <c r="H5" s="27"/>
    </row>
    <row r="6" spans="1:8" x14ac:dyDescent="0.2">
      <c r="A6" s="24"/>
      <c r="B6" s="25"/>
      <c r="C6" s="27"/>
      <c r="D6" s="27"/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82">
        <f>COUNT(B3:B40)</f>
        <v>1</v>
      </c>
      <c r="B41" s="82">
        <f>SUM(B3:B40)</f>
        <v>253</v>
      </c>
      <c r="C41" s="83">
        <f t="shared" ref="C41" si="0">COUNT(D3:D40)</f>
        <v>2</v>
      </c>
      <c r="D41" s="83">
        <f t="shared" ref="D41" si="1">SUM(D3:D40)</f>
        <v>566</v>
      </c>
      <c r="E41" s="82">
        <f t="shared" ref="E41" si="2">COUNT(F3:F40)</f>
        <v>2</v>
      </c>
      <c r="F41" s="82">
        <f t="shared" ref="F41" si="3">SUM(F3:F40)</f>
        <v>501</v>
      </c>
      <c r="G41" s="83">
        <f t="shared" ref="G41" si="4">COUNT(H3:H40)</f>
        <v>1</v>
      </c>
      <c r="H41" s="83">
        <f t="shared" ref="H41" si="5">SUM(H3:H40)</f>
        <v>259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H41"/>
  <sheetViews>
    <sheetView workbookViewId="0">
      <selection activeCell="H6" sqref="H6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82" t="s">
        <v>21</v>
      </c>
      <c r="B2" s="82" t="s">
        <v>22</v>
      </c>
      <c r="C2" s="83" t="s">
        <v>21</v>
      </c>
      <c r="D2" s="83" t="s">
        <v>22</v>
      </c>
      <c r="E2" s="82" t="s">
        <v>21</v>
      </c>
      <c r="F2" s="82" t="s">
        <v>22</v>
      </c>
      <c r="G2" s="83" t="s">
        <v>21</v>
      </c>
      <c r="H2" s="83" t="s">
        <v>22</v>
      </c>
    </row>
    <row r="3" spans="1:8" x14ac:dyDescent="0.2">
      <c r="A3" s="24" t="s">
        <v>24</v>
      </c>
      <c r="B3" s="25">
        <v>267</v>
      </c>
      <c r="C3" s="24" t="s">
        <v>24</v>
      </c>
      <c r="D3" s="27">
        <v>398</v>
      </c>
      <c r="E3" s="25" t="s">
        <v>24</v>
      </c>
      <c r="F3" s="25">
        <v>248</v>
      </c>
      <c r="G3" s="27" t="s">
        <v>24</v>
      </c>
      <c r="H3" s="27">
        <v>280</v>
      </c>
    </row>
    <row r="4" spans="1:8" x14ac:dyDescent="0.2">
      <c r="A4" s="24" t="s">
        <v>24</v>
      </c>
      <c r="B4" s="25">
        <v>200</v>
      </c>
      <c r="C4" s="24" t="s">
        <v>24</v>
      </c>
      <c r="D4" s="27">
        <v>308</v>
      </c>
      <c r="E4" s="25" t="s">
        <v>24</v>
      </c>
      <c r="F4" s="25">
        <v>296</v>
      </c>
      <c r="G4" s="27" t="s">
        <v>24</v>
      </c>
      <c r="H4" s="27">
        <v>205</v>
      </c>
    </row>
    <row r="5" spans="1:8" x14ac:dyDescent="0.2">
      <c r="A5" s="24" t="s">
        <v>24</v>
      </c>
      <c r="B5" s="25">
        <v>340</v>
      </c>
      <c r="C5" s="24" t="s">
        <v>24</v>
      </c>
      <c r="D5" s="27">
        <v>344</v>
      </c>
      <c r="E5" s="25" t="s">
        <v>24</v>
      </c>
      <c r="F5" s="25">
        <v>265</v>
      </c>
      <c r="G5" s="27" t="s">
        <v>24</v>
      </c>
      <c r="H5" s="27">
        <v>237</v>
      </c>
    </row>
    <row r="6" spans="1:8" x14ac:dyDescent="0.2">
      <c r="A6" s="24" t="s">
        <v>24</v>
      </c>
      <c r="B6" s="25">
        <v>288</v>
      </c>
      <c r="C6" s="24" t="s">
        <v>24</v>
      </c>
      <c r="D6" s="27">
        <v>221</v>
      </c>
      <c r="E6" s="25" t="s">
        <v>24</v>
      </c>
      <c r="F6" s="25">
        <v>255</v>
      </c>
      <c r="G6" s="27" t="s">
        <v>24</v>
      </c>
      <c r="H6" s="27">
        <v>343</v>
      </c>
    </row>
    <row r="7" spans="1:8" x14ac:dyDescent="0.2">
      <c r="A7" s="24" t="s">
        <v>24</v>
      </c>
      <c r="B7" s="25">
        <v>252</v>
      </c>
      <c r="C7" s="24" t="s">
        <v>24</v>
      </c>
      <c r="D7" s="27">
        <v>291</v>
      </c>
      <c r="E7" s="25" t="s">
        <v>24</v>
      </c>
      <c r="F7" s="25">
        <v>225</v>
      </c>
      <c r="G7" s="27"/>
      <c r="H7" s="27"/>
    </row>
    <row r="8" spans="1:8" x14ac:dyDescent="0.2">
      <c r="A8" s="24" t="s">
        <v>24</v>
      </c>
      <c r="B8" s="25">
        <v>288</v>
      </c>
      <c r="C8" s="24" t="s">
        <v>24</v>
      </c>
      <c r="D8" s="27">
        <v>330</v>
      </c>
      <c r="E8" s="25" t="s">
        <v>24</v>
      </c>
      <c r="F8" s="25">
        <v>221</v>
      </c>
      <c r="G8" s="27"/>
      <c r="H8" s="27"/>
    </row>
    <row r="9" spans="1:8" x14ac:dyDescent="0.2">
      <c r="A9" s="24" t="s">
        <v>24</v>
      </c>
      <c r="B9" s="25">
        <v>281</v>
      </c>
      <c r="C9" s="24" t="s">
        <v>24</v>
      </c>
      <c r="D9" s="27">
        <v>219</v>
      </c>
      <c r="E9" s="25" t="s">
        <v>24</v>
      </c>
      <c r="F9" s="25">
        <v>300</v>
      </c>
      <c r="G9" s="27"/>
      <c r="H9" s="27"/>
    </row>
    <row r="10" spans="1:8" x14ac:dyDescent="0.2">
      <c r="A10" s="24" t="s">
        <v>24</v>
      </c>
      <c r="B10" s="25">
        <v>226</v>
      </c>
      <c r="C10" s="24" t="s">
        <v>24</v>
      </c>
      <c r="D10" s="27">
        <v>270</v>
      </c>
      <c r="E10" s="25"/>
      <c r="F10" s="25"/>
      <c r="G10" s="27"/>
      <c r="H10" s="27"/>
    </row>
    <row r="11" spans="1:8" x14ac:dyDescent="0.2">
      <c r="A11" s="24" t="s">
        <v>24</v>
      </c>
      <c r="B11" s="25">
        <v>301</v>
      </c>
      <c r="C11" s="24" t="s">
        <v>24</v>
      </c>
      <c r="D11" s="27">
        <v>280</v>
      </c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82">
        <f>COUNT(B3:B40)</f>
        <v>9</v>
      </c>
      <c r="B41" s="82">
        <f>SUM(B3:B40)</f>
        <v>2443</v>
      </c>
      <c r="C41" s="83">
        <f t="shared" ref="C41" si="0">COUNT(D3:D40)</f>
        <v>9</v>
      </c>
      <c r="D41" s="83">
        <f t="shared" ref="D41" si="1">SUM(D3:D40)</f>
        <v>2661</v>
      </c>
      <c r="E41" s="82">
        <f t="shared" ref="E41" si="2">COUNT(F3:F40)</f>
        <v>7</v>
      </c>
      <c r="F41" s="82">
        <f t="shared" ref="F41" si="3">SUM(F3:F40)</f>
        <v>1810</v>
      </c>
      <c r="G41" s="83">
        <f t="shared" ref="G41" si="4">COUNT(H3:H40)</f>
        <v>4</v>
      </c>
      <c r="H41" s="83">
        <f t="shared" ref="H41" si="5">SUM(H3:H40)</f>
        <v>1065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G3:G40 E3:E40 C3:C40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H41"/>
  <sheetViews>
    <sheetView workbookViewId="0">
      <selection activeCell="H7" sqref="H7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82" t="s">
        <v>21</v>
      </c>
      <c r="B2" s="82" t="s">
        <v>22</v>
      </c>
      <c r="C2" s="83" t="s">
        <v>21</v>
      </c>
      <c r="D2" s="83" t="s">
        <v>22</v>
      </c>
      <c r="E2" s="82" t="s">
        <v>21</v>
      </c>
      <c r="F2" s="82" t="s">
        <v>22</v>
      </c>
      <c r="G2" s="83" t="s">
        <v>21</v>
      </c>
      <c r="H2" s="83" t="s">
        <v>22</v>
      </c>
    </row>
    <row r="3" spans="1:8" x14ac:dyDescent="0.2">
      <c r="A3" s="24" t="s">
        <v>24</v>
      </c>
      <c r="B3" s="25">
        <v>277</v>
      </c>
      <c r="C3" s="27" t="s">
        <v>24</v>
      </c>
      <c r="D3" s="27">
        <v>287</v>
      </c>
      <c r="E3" s="25" t="s">
        <v>24</v>
      </c>
      <c r="F3" s="25">
        <v>295</v>
      </c>
      <c r="G3" s="27" t="s">
        <v>24</v>
      </c>
      <c r="H3" s="27">
        <v>260</v>
      </c>
    </row>
    <row r="4" spans="1:8" x14ac:dyDescent="0.2">
      <c r="A4" s="24" t="s">
        <v>24</v>
      </c>
      <c r="B4" s="25">
        <v>337</v>
      </c>
      <c r="C4" s="27" t="s">
        <v>24</v>
      </c>
      <c r="D4" s="27">
        <v>307</v>
      </c>
      <c r="E4" s="25"/>
      <c r="F4" s="25"/>
      <c r="G4" s="27" t="s">
        <v>24</v>
      </c>
      <c r="H4" s="27">
        <v>342</v>
      </c>
    </row>
    <row r="5" spans="1:8" x14ac:dyDescent="0.2">
      <c r="A5" s="24" t="s">
        <v>24</v>
      </c>
      <c r="B5" s="25">
        <v>335</v>
      </c>
      <c r="C5" s="27"/>
      <c r="D5" s="27"/>
      <c r="E5" s="25"/>
      <c r="F5" s="25"/>
      <c r="G5" s="27" t="s">
        <v>24</v>
      </c>
      <c r="H5" s="27">
        <v>201</v>
      </c>
    </row>
    <row r="6" spans="1:8" x14ac:dyDescent="0.2">
      <c r="A6" s="24" t="s">
        <v>24</v>
      </c>
      <c r="B6" s="25">
        <v>346</v>
      </c>
      <c r="C6" s="27"/>
      <c r="D6" s="27"/>
      <c r="E6" s="25"/>
      <c r="F6" s="25"/>
      <c r="G6" s="27" t="s">
        <v>24</v>
      </c>
      <c r="H6" s="27">
        <v>210</v>
      </c>
    </row>
    <row r="7" spans="1:8" x14ac:dyDescent="0.2">
      <c r="A7" s="24"/>
      <c r="B7" s="25"/>
      <c r="C7" s="27"/>
      <c r="D7" s="27"/>
      <c r="E7" s="25"/>
      <c r="F7" s="25"/>
      <c r="G7" s="27" t="s">
        <v>24</v>
      </c>
      <c r="H7" s="27">
        <v>245</v>
      </c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82">
        <f>COUNT(B3:B40)</f>
        <v>4</v>
      </c>
      <c r="B41" s="82">
        <f>SUM(B3:B40)</f>
        <v>1295</v>
      </c>
      <c r="C41" s="83">
        <f t="shared" ref="C41" si="0">COUNT(D3:D40)</f>
        <v>2</v>
      </c>
      <c r="D41" s="83">
        <f t="shared" ref="D41" si="1">SUM(D3:D40)</f>
        <v>594</v>
      </c>
      <c r="E41" s="82">
        <f t="shared" ref="E41" si="2">COUNT(F3:F40)</f>
        <v>1</v>
      </c>
      <c r="F41" s="82">
        <f t="shared" ref="F41" si="3">SUM(F3:F40)</f>
        <v>295</v>
      </c>
      <c r="G41" s="83">
        <f t="shared" ref="G41" si="4">COUNT(H3:H40)</f>
        <v>5</v>
      </c>
      <c r="H41" s="83">
        <f t="shared" ref="H41" si="5">SUM(H3:H40)</f>
        <v>1258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2:H39"/>
  <sheetViews>
    <sheetView topLeftCell="A7" zoomScale="110" zoomScaleNormal="110" workbookViewId="0">
      <selection activeCell="M34" sqref="M34"/>
    </sheetView>
  </sheetViews>
  <sheetFormatPr baseColWidth="10" defaultRowHeight="12.75" x14ac:dyDescent="0.2"/>
  <cols>
    <col min="3" max="3" width="19.28515625" bestFit="1" customWidth="1"/>
    <col min="4" max="4" width="8.7109375" bestFit="1" customWidth="1"/>
  </cols>
  <sheetData>
    <row r="2" spans="1:8" x14ac:dyDescent="0.2">
      <c r="A2" s="22" t="s">
        <v>29</v>
      </c>
      <c r="B2" s="22" t="s">
        <v>0</v>
      </c>
      <c r="C2" s="22" t="s">
        <v>16</v>
      </c>
      <c r="D2" s="22" t="s">
        <v>85</v>
      </c>
      <c r="E2" s="22" t="s">
        <v>28</v>
      </c>
      <c r="F2" s="22" t="s">
        <v>31</v>
      </c>
      <c r="G2" s="22" t="s">
        <v>13</v>
      </c>
      <c r="H2" s="22" t="s">
        <v>30</v>
      </c>
    </row>
    <row r="3" spans="1:8" x14ac:dyDescent="0.2">
      <c r="A3" s="22">
        <v>1</v>
      </c>
      <c r="B3" s="42">
        <v>33</v>
      </c>
      <c r="C3" s="42" t="str">
        <f>VLOOKUP(B3,PARTICIPANTS!$B$1:$E$35,2,FALSE)</f>
        <v>Sabaut Serge</v>
      </c>
      <c r="D3" s="22">
        <f>MAX('Sabaut Serge'!$A$3:$H$40)</f>
        <v>398</v>
      </c>
      <c r="E3" s="31">
        <f>'Classement Final'!E35</f>
        <v>16</v>
      </c>
      <c r="F3" s="31">
        <f>'Classement Final'!F35</f>
        <v>0</v>
      </c>
      <c r="G3" s="31">
        <f>'Classement Final'!G35</f>
        <v>13779</v>
      </c>
      <c r="H3" s="31">
        <f>'Classement Final'!H35</f>
        <v>29</v>
      </c>
    </row>
    <row r="4" spans="1:8" x14ac:dyDescent="0.2">
      <c r="A4" s="22">
        <v>2</v>
      </c>
      <c r="B4" s="42">
        <v>12</v>
      </c>
      <c r="C4" s="42" t="str">
        <f>VLOOKUP(B4,PARTICIPANTS!$B$1:$E$35,2,FALSE)</f>
        <v>Dequinze Benoit</v>
      </c>
      <c r="D4" s="22">
        <f>MAX('Dequinze Benoit'!$A$3:$H$40)</f>
        <v>381</v>
      </c>
      <c r="E4" s="31">
        <f>'Classement Final'!E14</f>
        <v>17</v>
      </c>
      <c r="F4" s="31">
        <f>'Classement Final'!F14</f>
        <v>0</v>
      </c>
      <c r="G4" s="31">
        <f>'Classement Final'!G14</f>
        <v>11619</v>
      </c>
      <c r="H4" s="31">
        <f>'Classement Final'!H14</f>
        <v>26</v>
      </c>
    </row>
    <row r="5" spans="1:8" x14ac:dyDescent="0.2">
      <c r="A5" s="22">
        <v>3</v>
      </c>
      <c r="B5" s="42">
        <v>11</v>
      </c>
      <c r="C5" s="42" t="str">
        <f>VLOOKUP(B5,PARTICIPANTS!$B$1:$E$35,2,FALSE)</f>
        <v>Delhasse Jacques</v>
      </c>
      <c r="D5" s="22">
        <f>MAX('Delhasse Jacques'!$A$3:$H$40)</f>
        <v>372</v>
      </c>
      <c r="E5" s="31">
        <f>'Classement Final'!E13</f>
        <v>21</v>
      </c>
      <c r="F5" s="31">
        <f>'Classement Final'!F13</f>
        <v>0</v>
      </c>
      <c r="G5" s="31">
        <f>'Classement Final'!G13</f>
        <v>11855</v>
      </c>
      <c r="H5" s="31">
        <f>'Classement Final'!H13</f>
        <v>24</v>
      </c>
    </row>
    <row r="6" spans="1:8" x14ac:dyDescent="0.2">
      <c r="A6" s="22">
        <v>4</v>
      </c>
      <c r="B6" s="42">
        <v>1</v>
      </c>
      <c r="C6" s="42" t="str">
        <f>VLOOKUP(B6,PARTICIPANTS!$B$1:$E$35,2,FALSE)</f>
        <v>Adam Christophe</v>
      </c>
      <c r="D6" s="22">
        <f>MAX('Adam Christophe'!$A$3:$H$40)</f>
        <v>428</v>
      </c>
      <c r="E6" s="31">
        <f>'Classement Final'!E3</f>
        <v>32</v>
      </c>
      <c r="F6" s="31">
        <f>'Classement Final'!F3</f>
        <v>0</v>
      </c>
      <c r="G6" s="31">
        <f>'Classement Final'!G3</f>
        <v>9664</v>
      </c>
      <c r="H6" s="31">
        <f>'Classement Final'!H3</f>
        <v>20</v>
      </c>
    </row>
    <row r="7" spans="1:8" x14ac:dyDescent="0.2">
      <c r="A7" s="22">
        <v>5</v>
      </c>
      <c r="B7" s="42">
        <v>28</v>
      </c>
      <c r="C7" s="42" t="str">
        <f>VLOOKUP(B7,PARTICIPANTS!$B$1:$E$35,2,FALSE)</f>
        <v>Lorquet Julien</v>
      </c>
      <c r="D7" s="22">
        <f>MAX('Lorquet Julien'!$A$3:$H$40)</f>
        <v>395</v>
      </c>
      <c r="E7" s="31">
        <f>'Classement Final'!E30</f>
        <v>40</v>
      </c>
      <c r="F7" s="31">
        <f>'Classement Final'!F30</f>
        <v>0</v>
      </c>
      <c r="G7" s="31">
        <f>'Classement Final'!G30</f>
        <v>8392</v>
      </c>
      <c r="H7" s="31">
        <f>'Classement Final'!H30</f>
        <v>17</v>
      </c>
    </row>
    <row r="8" spans="1:8" x14ac:dyDescent="0.2">
      <c r="A8" s="22">
        <v>6</v>
      </c>
      <c r="B8" s="42">
        <v>26</v>
      </c>
      <c r="C8" s="42" t="str">
        <f>VLOOKUP(B8,PARTICIPANTS!$B$1:$E$35,2,FALSE)</f>
        <v>Leboutte Loïc</v>
      </c>
      <c r="D8" s="22">
        <f>MAX('Leboutte Loïc'!$A$3:$H$40)</f>
        <v>405</v>
      </c>
      <c r="E8" s="31">
        <f>'Classement Final'!E28</f>
        <v>47</v>
      </c>
      <c r="F8" s="31">
        <f>'Classement Final'!F28</f>
        <v>0</v>
      </c>
      <c r="G8" s="31">
        <f>'Classement Final'!G28</f>
        <v>6808</v>
      </c>
      <c r="H8" s="31">
        <f>'Classement Final'!H28</f>
        <v>13</v>
      </c>
    </row>
    <row r="9" spans="1:8" x14ac:dyDescent="0.2">
      <c r="A9" s="22">
        <v>7</v>
      </c>
      <c r="B9" s="42">
        <v>30</v>
      </c>
      <c r="C9" s="42" t="str">
        <f>VLOOKUP(B9,PARTICIPANTS!$B$1:$E$35,2,FALSE)</f>
        <v>Mathieu Vincent</v>
      </c>
      <c r="D9" s="22">
        <f>MAX('Mathieu Vincent'!$A$3:$H$40)</f>
        <v>375</v>
      </c>
      <c r="E9" s="31">
        <f>'Classement Final'!E32</f>
        <v>47</v>
      </c>
      <c r="F9" s="31">
        <f>'Classement Final'!F32</f>
        <v>0</v>
      </c>
      <c r="G9" s="31">
        <f>'Classement Final'!G32</f>
        <v>6760</v>
      </c>
      <c r="H9" s="31">
        <f>'Classement Final'!H32</f>
        <v>14</v>
      </c>
    </row>
    <row r="10" spans="1:8" x14ac:dyDescent="0.2">
      <c r="A10" s="22">
        <v>8</v>
      </c>
      <c r="B10" s="42">
        <v>13</v>
      </c>
      <c r="C10" s="42" t="str">
        <f>VLOOKUP(B10,PARTICIPANTS!$B$1:$E$35,2,FALSE)</f>
        <v>Destiné Martin</v>
      </c>
      <c r="D10" s="22">
        <f>MAX('Destiné Martin'!$A$3:$H$40)</f>
        <v>344</v>
      </c>
      <c r="E10" s="31">
        <f>'Classement Final'!E15</f>
        <v>51</v>
      </c>
      <c r="F10" s="31">
        <f>'Classement Final'!F15</f>
        <v>0</v>
      </c>
      <c r="G10" s="31">
        <f>'Classement Final'!G15</f>
        <v>6627</v>
      </c>
      <c r="H10" s="31">
        <f>'Classement Final'!H15</f>
        <v>14</v>
      </c>
    </row>
    <row r="11" spans="1:8" x14ac:dyDescent="0.2">
      <c r="A11" s="22">
        <v>9</v>
      </c>
      <c r="B11" s="42">
        <v>24</v>
      </c>
      <c r="C11" s="42" t="str">
        <f>VLOOKUP(B11,PARTICIPANTS!$B$1:$E$35,2,FALSE)</f>
        <v>Jamagne Thierry</v>
      </c>
      <c r="D11" s="22">
        <f>MAX('Jamagne Thierry'!$A$3:$H$40)</f>
        <v>386</v>
      </c>
      <c r="E11" s="31">
        <f>'Classement Final'!E26</f>
        <v>52</v>
      </c>
      <c r="F11" s="31">
        <f>'Classement Final'!F26</f>
        <v>0</v>
      </c>
      <c r="G11" s="31">
        <f>'Classement Final'!G26</f>
        <v>7064</v>
      </c>
      <c r="H11" s="31">
        <f>'Classement Final'!H26</f>
        <v>14</v>
      </c>
    </row>
    <row r="12" spans="1:8" x14ac:dyDescent="0.2">
      <c r="A12" s="22">
        <v>10</v>
      </c>
      <c r="B12" s="42">
        <v>2</v>
      </c>
      <c r="C12" s="42" t="str">
        <f>VLOOKUP(B12,PARTICIPANTS!$B$1:$E$35,2,FALSE)</f>
        <v>Aguado Nicolas</v>
      </c>
      <c r="D12" s="22">
        <f>MAX('Aguado Nicolas'!$A$3:$H$40)</f>
        <v>395</v>
      </c>
      <c r="E12" s="31">
        <f>'Classement Final'!E4</f>
        <v>55</v>
      </c>
      <c r="F12" s="31">
        <f>'Classement Final'!F4</f>
        <v>0</v>
      </c>
      <c r="G12" s="31">
        <f>'Classement Final'!G4</f>
        <v>7442</v>
      </c>
      <c r="H12" s="31">
        <f>'Classement Final'!H4</f>
        <v>15</v>
      </c>
    </row>
    <row r="13" spans="1:8" x14ac:dyDescent="0.2">
      <c r="A13" s="22">
        <v>11</v>
      </c>
      <c r="B13" s="42">
        <v>5</v>
      </c>
      <c r="C13" s="42" t="str">
        <f>VLOOKUP(B13,PARTICIPANTS!$B$1:$E$35,2,FALSE)</f>
        <v>Briquemont Mathias</v>
      </c>
      <c r="D13" s="22">
        <f>MAX('Briquemont Mathias'!$A$3:$H$40)</f>
        <v>401</v>
      </c>
      <c r="E13" s="31">
        <f>'Classement Final'!E7</f>
        <v>56</v>
      </c>
      <c r="F13" s="31">
        <f>'Classement Final'!F7</f>
        <v>0</v>
      </c>
      <c r="G13" s="31">
        <f>'Classement Final'!G7</f>
        <v>5987</v>
      </c>
      <c r="H13" s="31">
        <f>'Classement Final'!H7</f>
        <v>13</v>
      </c>
    </row>
    <row r="14" spans="1:8" x14ac:dyDescent="0.2">
      <c r="A14" s="22">
        <v>12</v>
      </c>
      <c r="B14" s="42">
        <v>3</v>
      </c>
      <c r="C14" s="42" t="str">
        <f>VLOOKUP(B14,PARTICIPANTS!$B$1:$E$35,2,FALSE)</f>
        <v>Bebelmans Ghislain</v>
      </c>
      <c r="D14" s="22">
        <f>MAX('Bebelmans Ghislain'!$A$3:$H$40)</f>
        <v>400</v>
      </c>
      <c r="E14" s="31">
        <f>'Classement Final'!E5</f>
        <v>58</v>
      </c>
      <c r="F14" s="31">
        <f>'Classement Final'!F5</f>
        <v>0</v>
      </c>
      <c r="G14" s="31">
        <f>'Classement Final'!G5</f>
        <v>5746</v>
      </c>
      <c r="H14" s="31">
        <f>'Classement Final'!H5</f>
        <v>12</v>
      </c>
    </row>
    <row r="15" spans="1:8" x14ac:dyDescent="0.2">
      <c r="A15" s="22">
        <v>13</v>
      </c>
      <c r="B15" s="42">
        <v>34</v>
      </c>
      <c r="C15" s="42" t="str">
        <f>VLOOKUP(B15,PARTICIPANTS!$B$1:$E$35,2,FALSE)</f>
        <v>Saive Thibault</v>
      </c>
      <c r="D15" s="22">
        <f>MAX('Saive Thibault'!$A$3:$H$40)</f>
        <v>346</v>
      </c>
      <c r="E15" s="31">
        <f>'Classement Final'!E36</f>
        <v>60</v>
      </c>
      <c r="F15" s="31">
        <f>'Classement Final'!F36</f>
        <v>0</v>
      </c>
      <c r="G15" s="31">
        <f>'Classement Final'!G36</f>
        <v>5842</v>
      </c>
      <c r="H15" s="31">
        <f>'Classement Final'!H36</f>
        <v>12</v>
      </c>
    </row>
    <row r="16" spans="1:8" x14ac:dyDescent="0.2">
      <c r="A16" s="22">
        <v>14</v>
      </c>
      <c r="B16" s="42">
        <v>25</v>
      </c>
      <c r="C16" s="42" t="str">
        <f>VLOOKUP(B16,PARTICIPANTS!$B$1:$E$35,2,FALSE)</f>
        <v>Lambert Jacques</v>
      </c>
      <c r="D16" s="22">
        <f>MAX('Lambert Jacques'!$A$3:$H$40)</f>
        <v>365</v>
      </c>
      <c r="E16" s="31">
        <f>'Classement Final'!E27</f>
        <v>67</v>
      </c>
      <c r="F16" s="31">
        <f>'Classement Final'!F27</f>
        <v>0</v>
      </c>
      <c r="G16" s="31">
        <f>'Classement Final'!G27</f>
        <v>4937</v>
      </c>
      <c r="H16" s="31">
        <f>'Classement Final'!H27</f>
        <v>10</v>
      </c>
    </row>
    <row r="17" spans="1:8" x14ac:dyDescent="0.2">
      <c r="A17" s="22">
        <v>15</v>
      </c>
      <c r="B17" s="42">
        <v>31</v>
      </c>
      <c r="C17" s="42" t="str">
        <f>VLOOKUP(B17,PARTICIPANTS!$B$1:$E$35,2,FALSE)</f>
        <v>Mathieu Christian</v>
      </c>
      <c r="D17" s="22">
        <f>MAX('Mathieu Christian'!$A$3:$H$40)</f>
        <v>395</v>
      </c>
      <c r="E17" s="31">
        <f>'Classement Final'!E33</f>
        <v>72</v>
      </c>
      <c r="F17" s="31">
        <f>'Classement Final'!F33</f>
        <v>0</v>
      </c>
      <c r="G17" s="31">
        <f>'Classement Final'!G33</f>
        <v>4508</v>
      </c>
      <c r="H17" s="31">
        <f>'Classement Final'!H33</f>
        <v>9</v>
      </c>
    </row>
    <row r="18" spans="1:8" x14ac:dyDescent="0.2">
      <c r="A18" s="22">
        <v>16</v>
      </c>
      <c r="B18" s="42">
        <v>4</v>
      </c>
      <c r="C18" s="42" t="str">
        <f>VLOOKUP(B18,PARTICIPANTS!$B$1:$E$35,2,FALSE)</f>
        <v>Bracco Ludovic</v>
      </c>
      <c r="D18" s="22">
        <f>MAX('Bracco Ludovic'!$A$3:$H$40)</f>
        <v>354</v>
      </c>
      <c r="E18" s="31">
        <f>'Classement Final'!E6</f>
        <v>72</v>
      </c>
      <c r="F18" s="31">
        <f>'Classement Final'!F6</f>
        <v>0</v>
      </c>
      <c r="G18" s="31">
        <f>'Classement Final'!G6</f>
        <v>3962</v>
      </c>
      <c r="H18" s="31">
        <f>'Classement Final'!H6</f>
        <v>8</v>
      </c>
    </row>
    <row r="19" spans="1:8" x14ac:dyDescent="0.2">
      <c r="A19" s="22">
        <v>17</v>
      </c>
      <c r="B19" s="42">
        <v>15</v>
      </c>
      <c r="C19" s="42" t="str">
        <f>VLOOKUP(B19,PARTICIPANTS!$B$1:$E$35,2,FALSE)</f>
        <v>DiMarco David</v>
      </c>
      <c r="D19" s="22">
        <f>MAX('DiMarco David'!$A$3:$H$40)</f>
        <v>385</v>
      </c>
      <c r="E19" s="31">
        <f>'Classement Final'!E17</f>
        <v>73</v>
      </c>
      <c r="F19" s="31">
        <f>'Classement Final'!F17</f>
        <v>0</v>
      </c>
      <c r="G19" s="31">
        <f>'Classement Final'!G17</f>
        <v>6986</v>
      </c>
      <c r="H19" s="31">
        <f>'Classement Final'!H17</f>
        <v>15</v>
      </c>
    </row>
    <row r="20" spans="1:8" x14ac:dyDescent="0.2">
      <c r="A20" s="22">
        <v>18</v>
      </c>
      <c r="B20" s="42">
        <v>20</v>
      </c>
      <c r="C20" s="42" t="str">
        <f>VLOOKUP(B20,PARTICIPANTS!$B$1:$E$35,2,FALSE)</f>
        <v>Habran Jérémy</v>
      </c>
      <c r="D20" s="22">
        <f>MAX('Habran Jérémy'!$A$3:$H$40)</f>
        <v>348</v>
      </c>
      <c r="E20" s="31">
        <f>'Classement Final'!E22</f>
        <v>77</v>
      </c>
      <c r="F20" s="31">
        <f>'Classement Final'!F22</f>
        <v>0</v>
      </c>
      <c r="G20" s="31">
        <f>'Classement Final'!G22</f>
        <v>5060</v>
      </c>
      <c r="H20" s="31">
        <f>'Classement Final'!H22</f>
        <v>11</v>
      </c>
    </row>
    <row r="21" spans="1:8" x14ac:dyDescent="0.2">
      <c r="A21" s="22">
        <v>19</v>
      </c>
      <c r="B21" s="42">
        <v>29</v>
      </c>
      <c r="C21" s="42" t="str">
        <f>VLOOKUP(B21,PARTICIPANTS!$B$1:$E$35,2,FALSE)</f>
        <v>Marchais Philippe</v>
      </c>
      <c r="D21" s="22">
        <f>MAX('Marchais Philippe'!$A$3:$H$40)</f>
        <v>353</v>
      </c>
      <c r="E21" s="31">
        <f>'Classement Final'!E31</f>
        <v>77</v>
      </c>
      <c r="F21" s="31">
        <f>'Classement Final'!F31</f>
        <v>0</v>
      </c>
      <c r="G21" s="31">
        <f>'Classement Final'!G31</f>
        <v>3432</v>
      </c>
      <c r="H21" s="31">
        <f>'Classement Final'!H31</f>
        <v>7</v>
      </c>
    </row>
    <row r="22" spans="1:8" x14ac:dyDescent="0.2">
      <c r="A22" s="22">
        <v>20</v>
      </c>
      <c r="B22" s="42">
        <v>14</v>
      </c>
      <c r="C22" s="42" t="str">
        <f>VLOOKUP(B22,PARTICIPANTS!$B$1:$E$35,2,FALSE)</f>
        <v>Devooght Giani</v>
      </c>
      <c r="D22" s="22">
        <f>MAX('Devooght Giani'!$A$3:$H$40)</f>
        <v>425</v>
      </c>
      <c r="E22" s="31">
        <f>'Classement Final'!E16</f>
        <v>81</v>
      </c>
      <c r="F22" s="31">
        <f>'Classement Final'!F16</f>
        <v>0</v>
      </c>
      <c r="G22" s="31">
        <f>'Classement Final'!G16</f>
        <v>4246</v>
      </c>
      <c r="H22" s="31">
        <f>'Classement Final'!H16</f>
        <v>8</v>
      </c>
    </row>
    <row r="23" spans="1:8" x14ac:dyDescent="0.2">
      <c r="A23" s="22">
        <v>21</v>
      </c>
      <c r="B23" s="42">
        <v>10</v>
      </c>
      <c r="C23" s="42" t="str">
        <f>VLOOKUP(B23,PARTICIPANTS!$B$1:$E$35,2,FALSE)</f>
        <v>DelFrari Romano</v>
      </c>
      <c r="D23" s="22">
        <f>MAX('DelFrari Romano'!$A$3:$H$40)</f>
        <v>378</v>
      </c>
      <c r="E23" s="31">
        <f>'Classement Final'!E12</f>
        <v>85</v>
      </c>
      <c r="F23" s="31">
        <f>'Classement Final'!F12</f>
        <v>0</v>
      </c>
      <c r="G23" s="31">
        <f>'Classement Final'!G12</f>
        <v>4495</v>
      </c>
      <c r="H23" s="31">
        <f>'Classement Final'!H12</f>
        <v>9</v>
      </c>
    </row>
    <row r="24" spans="1:8" x14ac:dyDescent="0.2">
      <c r="A24" s="22">
        <v>22</v>
      </c>
      <c r="B24" s="42">
        <v>6</v>
      </c>
      <c r="C24" s="42" t="str">
        <f>VLOOKUP(B24,PARTICIPANTS!$B$1:$E$35,2,FALSE)</f>
        <v>Bruninx Jean-Luc</v>
      </c>
      <c r="D24" s="22">
        <f>MAX('Bruninx Jean-Luc'!$A$3:$H$40)</f>
        <v>310</v>
      </c>
      <c r="E24" s="31">
        <f>'Classement Final'!E8</f>
        <v>85</v>
      </c>
      <c r="F24" s="31">
        <f>'Classement Final'!F8</f>
        <v>0</v>
      </c>
      <c r="G24" s="31">
        <f>'Classement Final'!G8</f>
        <v>4101</v>
      </c>
      <c r="H24" s="31">
        <f>'Classement Final'!H8</f>
        <v>9</v>
      </c>
    </row>
    <row r="25" spans="1:8" x14ac:dyDescent="0.2">
      <c r="A25" s="22">
        <v>23</v>
      </c>
      <c r="B25" s="42">
        <v>7</v>
      </c>
      <c r="C25" s="42" t="str">
        <f>VLOOKUP(B25,PARTICIPANTS!$B$1:$E$35,2,FALSE)</f>
        <v>Coquette Arthur</v>
      </c>
      <c r="D25" s="22">
        <f>MAX('Coquette Arthur'!$A$3:$H$40)</f>
        <v>324</v>
      </c>
      <c r="E25" s="31">
        <f>'Classement Final'!E9</f>
        <v>86</v>
      </c>
      <c r="F25" s="31">
        <f>'Classement Final'!F9</f>
        <v>0</v>
      </c>
      <c r="G25" s="31">
        <f>'Classement Final'!G9</f>
        <v>4279</v>
      </c>
      <c r="H25" s="31">
        <f>'Classement Final'!H9</f>
        <v>9</v>
      </c>
    </row>
    <row r="26" spans="1:8" x14ac:dyDescent="0.2">
      <c r="A26" s="22">
        <v>24</v>
      </c>
      <c r="B26" s="42">
        <v>32</v>
      </c>
      <c r="C26" s="42" t="str">
        <f>VLOOKUP(B26,PARTICIPANTS!$B$1:$E$35,2,FALSE)</f>
        <v>Ruisseau Olivier</v>
      </c>
      <c r="D26" s="22">
        <f>MAX('Ruisseau Olivier'!$A$3:$H$40)</f>
        <v>366</v>
      </c>
      <c r="E26" s="31">
        <f>'Classement Final'!E34</f>
        <v>88</v>
      </c>
      <c r="F26" s="31">
        <f>'Classement Final'!F34</f>
        <v>0</v>
      </c>
      <c r="G26" s="31">
        <f>'Classement Final'!G34</f>
        <v>2779</v>
      </c>
      <c r="H26" s="31">
        <f>'Classement Final'!H34</f>
        <v>6</v>
      </c>
    </row>
    <row r="27" spans="1:8" x14ac:dyDescent="0.2">
      <c r="A27" s="22">
        <v>25</v>
      </c>
      <c r="B27" s="42">
        <v>18</v>
      </c>
      <c r="C27" s="42" t="str">
        <f>VLOOKUP(B27,PARTICIPANTS!$B$1:$E$35,2,FALSE)</f>
        <v>Frison Fabian</v>
      </c>
      <c r="D27" s="22">
        <f>MAX('Frison Fabian'!$A$3:$H$40)</f>
        <v>335</v>
      </c>
      <c r="E27" s="31">
        <f>'Classement Final'!E20</f>
        <v>90</v>
      </c>
      <c r="F27" s="31">
        <f>'Classement Final'!F20</f>
        <v>0</v>
      </c>
      <c r="G27" s="31">
        <f>'Classement Final'!G20</f>
        <v>3312</v>
      </c>
      <c r="H27" s="31">
        <f>'Classement Final'!H20</f>
        <v>7</v>
      </c>
    </row>
    <row r="28" spans="1:8" x14ac:dyDescent="0.2">
      <c r="A28" s="22">
        <v>26</v>
      </c>
      <c r="B28" s="42">
        <v>19</v>
      </c>
      <c r="C28" s="42" t="str">
        <f>VLOOKUP(B28,PARTICIPANTS!$B$1:$E$35,2,FALSE)</f>
        <v>Gigot Alain</v>
      </c>
      <c r="D28" s="22">
        <f>MAX('Gigot Alain'!$A$3:$H$40)</f>
        <v>355</v>
      </c>
      <c r="E28" s="31">
        <f>'Classement Final'!E21</f>
        <v>92</v>
      </c>
      <c r="F28" s="31">
        <f>'Classement Final'!F21</f>
        <v>0</v>
      </c>
      <c r="G28" s="31">
        <f>'Classement Final'!G21</f>
        <v>4855</v>
      </c>
      <c r="H28" s="31">
        <f>'Classement Final'!H21</f>
        <v>10</v>
      </c>
    </row>
    <row r="29" spans="1:8" x14ac:dyDescent="0.2">
      <c r="A29" s="22">
        <v>27</v>
      </c>
      <c r="B29" s="42">
        <v>27</v>
      </c>
      <c r="C29" s="42" t="str">
        <f>VLOOKUP(B29,PARTICIPANTS!$B$1:$E$35,2,FALSE)</f>
        <v>Lefert Quentin</v>
      </c>
      <c r="D29" s="22">
        <f>MAX('Lefert Quentin'!$A$3:$H$40)</f>
        <v>344</v>
      </c>
      <c r="E29" s="31">
        <f>'Classement Final'!E29</f>
        <v>97</v>
      </c>
      <c r="F29" s="31">
        <f>'Classement Final'!F29</f>
        <v>0</v>
      </c>
      <c r="G29" s="31">
        <f>'Classement Final'!G29</f>
        <v>3724</v>
      </c>
      <c r="H29" s="31">
        <f>'Classement Final'!H29</f>
        <v>8</v>
      </c>
    </row>
    <row r="30" spans="1:8" x14ac:dyDescent="0.2">
      <c r="A30" s="22">
        <v>28</v>
      </c>
      <c r="B30" s="42">
        <v>8</v>
      </c>
      <c r="C30" s="42" t="str">
        <f>VLOOKUP(B30,PARTICIPANTS!$B$1:$E$35,2,FALSE)</f>
        <v>Cougnet  Ludovic</v>
      </c>
      <c r="D30" s="22">
        <f>MAX('Cougnet  Ludovic'!$A$3:$H$40)</f>
        <v>350</v>
      </c>
      <c r="E30" s="31">
        <f>'Classement Final'!E10</f>
        <v>97</v>
      </c>
      <c r="F30" s="31">
        <f>'Classement Final'!F10</f>
        <v>0</v>
      </c>
      <c r="G30" s="31">
        <f>'Classement Final'!G10</f>
        <v>2410</v>
      </c>
      <c r="H30" s="31">
        <f>'Classement Final'!H10</f>
        <v>5</v>
      </c>
    </row>
    <row r="31" spans="1:8" x14ac:dyDescent="0.2">
      <c r="A31" s="22">
        <v>29</v>
      </c>
      <c r="B31" s="42">
        <v>22</v>
      </c>
      <c r="C31" s="42" t="str">
        <f>VLOOKUP(B31,PARTICIPANTS!$B$1:$E$35,2,FALSE)</f>
        <v>Hockers  Thierry</v>
      </c>
      <c r="D31" s="22">
        <f>MAX('Hockers  Thierry'!$A$3:$H$40)</f>
        <v>311</v>
      </c>
      <c r="E31" s="31">
        <f>'Classement Final'!E24</f>
        <v>104</v>
      </c>
      <c r="F31" s="31">
        <f>'Classement Final'!F24</f>
        <v>0</v>
      </c>
      <c r="G31" s="31">
        <f>'Classement Final'!G24</f>
        <v>2258</v>
      </c>
      <c r="H31" s="31">
        <f>'Classement Final'!H24</f>
        <v>5</v>
      </c>
    </row>
    <row r="32" spans="1:8" x14ac:dyDescent="0.2">
      <c r="A32" s="22">
        <v>30</v>
      </c>
      <c r="B32" s="42">
        <v>9</v>
      </c>
      <c r="C32" s="42" t="str">
        <f>VLOOKUP(B32,PARTICIPANTS!$B$1:$E$35,2,FALSE)</f>
        <v>Curvers Maxime</v>
      </c>
      <c r="D32" s="22">
        <f>MAX('Curvers Maxime'!$A$3:$H$40)</f>
        <v>389</v>
      </c>
      <c r="E32" s="31">
        <f>'Classement Final'!E11</f>
        <v>104</v>
      </c>
      <c r="F32" s="31">
        <f>'Classement Final'!F11</f>
        <v>0</v>
      </c>
      <c r="G32" s="31">
        <f>'Classement Final'!G11</f>
        <v>2029</v>
      </c>
      <c r="H32" s="31">
        <f>'Classement Final'!H11</f>
        <v>4</v>
      </c>
    </row>
    <row r="33" spans="1:8" x14ac:dyDescent="0.2">
      <c r="A33" s="22">
        <v>31</v>
      </c>
      <c r="B33" s="42">
        <v>21</v>
      </c>
      <c r="C33" s="42" t="str">
        <f>VLOOKUP(B33,PARTICIPANTS!$B$1:$E$35,2,FALSE)</f>
        <v>Henrottin  Christian</v>
      </c>
      <c r="D33" s="22">
        <f>MAX('Henrottin  Christian'!$A$3:$H$40)</f>
        <v>277</v>
      </c>
      <c r="E33" s="31">
        <f>'Classement Final'!E23</f>
        <v>119</v>
      </c>
      <c r="F33" s="31">
        <f>'Classement Final'!F23</f>
        <v>0</v>
      </c>
      <c r="G33" s="31">
        <f>'Classement Final'!G23</f>
        <v>1296</v>
      </c>
      <c r="H33" s="31">
        <f>'Classement Final'!H23</f>
        <v>3</v>
      </c>
    </row>
    <row r="34" spans="1:8" x14ac:dyDescent="0.2">
      <c r="A34" s="22">
        <v>32</v>
      </c>
      <c r="B34" s="42">
        <v>23</v>
      </c>
      <c r="C34" s="42" t="str">
        <f>VLOOKUP(B34,PARTICIPANTS!$B$1:$E$35,2,FALSE)</f>
        <v>Jacques Romain</v>
      </c>
      <c r="D34" s="22">
        <f>MAX('Jacques Romain'!$A$3:$H$40)</f>
        <v>0</v>
      </c>
      <c r="E34" s="31">
        <f>'Classement Final'!E25</f>
        <v>184</v>
      </c>
      <c r="F34" s="31">
        <f>'Classement Final'!F25</f>
        <v>0</v>
      </c>
      <c r="G34" s="31">
        <f>'Classement Final'!G25</f>
        <v>0</v>
      </c>
      <c r="H34" s="31">
        <f>'Classement Final'!H25</f>
        <v>0</v>
      </c>
    </row>
    <row r="35" spans="1:8" x14ac:dyDescent="0.2">
      <c r="A35" s="22">
        <v>33</v>
      </c>
      <c r="B35" s="42">
        <v>16</v>
      </c>
      <c r="C35" s="42" t="str">
        <f>VLOOKUP(B35,PARTICIPANTS!$B$1:$E$35,2,FALSE)</f>
        <v>Dockier Fabrice</v>
      </c>
      <c r="D35" s="22">
        <f>MAX('Dockier Fabrice'!$A$3:$H$40)</f>
        <v>0</v>
      </c>
      <c r="E35" s="31">
        <f>'Classement Final'!E18</f>
        <v>184</v>
      </c>
      <c r="F35" s="31">
        <f>'Classement Final'!F18</f>
        <v>0</v>
      </c>
      <c r="G35" s="31">
        <f>'Classement Final'!G18</f>
        <v>0</v>
      </c>
      <c r="H35" s="31">
        <f>'Classement Final'!H18</f>
        <v>0</v>
      </c>
    </row>
    <row r="36" spans="1:8" x14ac:dyDescent="0.2">
      <c r="A36" s="22">
        <v>34</v>
      </c>
      <c r="B36" s="42">
        <v>17</v>
      </c>
      <c r="C36" s="42" t="str">
        <f>VLOOKUP(B36,PARTICIPANTS!$B$1:$E$35,2,FALSE)</f>
        <v>Dupont  Olivier</v>
      </c>
      <c r="D36" s="22">
        <f>MAX('Dupont  Olivier'!$A$3:$H$40)</f>
        <v>0</v>
      </c>
      <c r="E36" s="31">
        <f>'Classement Final'!E19</f>
        <v>184</v>
      </c>
      <c r="F36" s="31">
        <f>'Classement Final'!F19</f>
        <v>0</v>
      </c>
      <c r="G36" s="31">
        <f>'Classement Final'!G19</f>
        <v>0</v>
      </c>
      <c r="H36" s="31">
        <f>'Classement Final'!H19</f>
        <v>0</v>
      </c>
    </row>
    <row r="37" spans="1:8" ht="13.5" thickBot="1" x14ac:dyDescent="0.25">
      <c r="A37" s="43"/>
      <c r="B37" s="44"/>
      <c r="C37" s="44"/>
      <c r="D37" s="44"/>
      <c r="E37" s="19"/>
      <c r="F37" s="19"/>
      <c r="G37" s="21"/>
      <c r="H37" s="19"/>
    </row>
    <row r="38" spans="1:8" x14ac:dyDescent="0.2">
      <c r="A38" s="43"/>
      <c r="B38" s="43"/>
      <c r="C38" s="45" t="s">
        <v>14</v>
      </c>
      <c r="D38" s="98"/>
      <c r="E38" s="35"/>
      <c r="F38" s="35"/>
      <c r="G38" s="36"/>
      <c r="H38" s="37">
        <f>SUM(H3:H36)</f>
        <v>366</v>
      </c>
    </row>
    <row r="39" spans="1:8" ht="13.5" thickBot="1" x14ac:dyDescent="0.25">
      <c r="A39" s="43"/>
      <c r="B39" s="43"/>
      <c r="C39" s="46" t="s">
        <v>15</v>
      </c>
      <c r="D39" s="99"/>
      <c r="E39" s="38"/>
      <c r="F39" s="38"/>
      <c r="G39" s="39"/>
      <c r="H39" s="40">
        <f>AVERAGE(H3:H36)</f>
        <v>10.764705882352942</v>
      </c>
    </row>
  </sheetData>
  <autoFilter ref="A2:H23">
    <sortState ref="A3:H36">
      <sortCondition ref="E2:E23"/>
    </sortState>
  </autoFilter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2"/>
  <sheetViews>
    <sheetView workbookViewId="0">
      <selection activeCell="K28" sqref="K28"/>
    </sheetView>
  </sheetViews>
  <sheetFormatPr baseColWidth="10" defaultRowHeight="12.75" x14ac:dyDescent="0.2"/>
  <sheetData>
    <row r="1" spans="1:2" x14ac:dyDescent="0.2">
      <c r="A1" t="s">
        <v>23</v>
      </c>
      <c r="B1" t="s">
        <v>26</v>
      </c>
    </row>
    <row r="2" spans="1:2" x14ac:dyDescent="0.2">
      <c r="A2" t="s">
        <v>24</v>
      </c>
      <c r="B2" t="s">
        <v>25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K36"/>
  <sheetViews>
    <sheetView workbookViewId="0">
      <selection activeCell="R17" sqref="R17"/>
    </sheetView>
  </sheetViews>
  <sheetFormatPr baseColWidth="10" defaultRowHeight="12.75" x14ac:dyDescent="0.2"/>
  <cols>
    <col min="2" max="2" width="7.7109375" bestFit="1" customWidth="1"/>
    <col min="3" max="3" width="5.85546875" style="59" bestFit="1" customWidth="1"/>
    <col min="4" max="4" width="6.42578125" style="59" bestFit="1" customWidth="1"/>
    <col min="5" max="5" width="5.85546875" bestFit="1" customWidth="1"/>
    <col min="6" max="6" width="6.42578125" bestFit="1" customWidth="1"/>
    <col min="7" max="7" width="5.85546875" bestFit="1" customWidth="1"/>
    <col min="8" max="8" width="6.42578125" bestFit="1" customWidth="1"/>
    <col min="9" max="9" width="5.85546875" bestFit="1" customWidth="1"/>
    <col min="10" max="10" width="6.42578125" bestFit="1" customWidth="1"/>
    <col min="11" max="11" width="5.28515625" style="53" bestFit="1" customWidth="1"/>
  </cols>
  <sheetData>
    <row r="1" spans="2:11" s="53" customFormat="1" x14ac:dyDescent="0.2">
      <c r="C1" s="105" t="s">
        <v>47</v>
      </c>
      <c r="D1" s="106"/>
      <c r="E1" s="105" t="s">
        <v>48</v>
      </c>
      <c r="F1" s="106"/>
      <c r="G1" s="105" t="s">
        <v>49</v>
      </c>
      <c r="H1" s="106"/>
      <c r="I1" s="105" t="s">
        <v>50</v>
      </c>
      <c r="J1" s="106"/>
    </row>
    <row r="2" spans="2:11" s="53" customFormat="1" x14ac:dyDescent="0.2">
      <c r="B2" s="74" t="s">
        <v>44</v>
      </c>
      <c r="C2" s="73" t="s">
        <v>46</v>
      </c>
      <c r="D2" s="73" t="s">
        <v>26</v>
      </c>
      <c r="E2" s="72" t="s">
        <v>46</v>
      </c>
      <c r="F2" s="72" t="s">
        <v>26</v>
      </c>
      <c r="G2" s="72" t="s">
        <v>46</v>
      </c>
      <c r="H2" s="72" t="s">
        <v>26</v>
      </c>
      <c r="I2" s="72" t="s">
        <v>46</v>
      </c>
      <c r="J2" s="72" t="s">
        <v>26</v>
      </c>
      <c r="K2" s="74" t="s">
        <v>45</v>
      </c>
    </row>
    <row r="3" spans="2:11" x14ac:dyDescent="0.2">
      <c r="B3" s="75">
        <v>1</v>
      </c>
      <c r="C3" s="76">
        <f>VLOOKUP($B3,'Classement Final'!$I:$N,5,FALSE)</f>
        <v>1</v>
      </c>
      <c r="D3" s="76">
        <f>VLOOKUP($B3,'Classement Final'!$I:$N,6,FALSE)</f>
        <v>0</v>
      </c>
      <c r="E3" s="76">
        <f>VLOOKUP($B3,'Classement Final'!$O:$T,5,FALSE)</f>
        <v>2</v>
      </c>
      <c r="F3" s="76">
        <f>VLOOKUP($B3,'Classement Final'!$O:$T,6,FALSE)</f>
        <v>0</v>
      </c>
      <c r="G3" s="76">
        <f>VLOOKUP($B3,'Classement Final'!$U:$Z,5,FALSE)</f>
        <v>6</v>
      </c>
      <c r="H3" s="76">
        <f>VLOOKUP($B3,'Classement Final'!$U:$Z,6,FALSE)</f>
        <v>0</v>
      </c>
      <c r="I3" s="76">
        <f>VLOOKUP($B3,'Classement Final'!$AA:$AF,5,FALSE)</f>
        <v>3</v>
      </c>
      <c r="J3" s="76">
        <f>VLOOKUP($B3,'Classement Final'!$AA:$AF,6,FALSE)</f>
        <v>0</v>
      </c>
      <c r="K3" s="77">
        <f>SUM(C3:J3)</f>
        <v>12</v>
      </c>
    </row>
    <row r="4" spans="2:11" x14ac:dyDescent="0.2">
      <c r="B4" s="75">
        <v>2</v>
      </c>
      <c r="C4" s="76">
        <f>VLOOKUP($B4,'Classement Final'!$I:$N,5,FALSE)</f>
        <v>1</v>
      </c>
      <c r="D4" s="76">
        <f>VLOOKUP($B4,'Classement Final'!$I:$N,6,FALSE)</f>
        <v>0</v>
      </c>
      <c r="E4" s="76">
        <f>VLOOKUP($B4,'Classement Final'!$O:$T,5,FALSE)</f>
        <v>4</v>
      </c>
      <c r="F4" s="76">
        <f>VLOOKUP($B4,'Classement Final'!$O:$T,6,FALSE)</f>
        <v>0</v>
      </c>
      <c r="G4" s="76">
        <f>VLOOKUP($B4,'Classement Final'!$U:$Z,5,FALSE)</f>
        <v>3</v>
      </c>
      <c r="H4" s="76">
        <f>VLOOKUP($B4,'Classement Final'!$U:$Z,6,FALSE)</f>
        <v>0</v>
      </c>
      <c r="I4" s="76">
        <f>VLOOKUP($B4,'Classement Final'!$AA:$AF,5,FALSE)</f>
        <v>0</v>
      </c>
      <c r="J4" s="76">
        <f>VLOOKUP($B4,'Classement Final'!$AA:$AF,6,FALSE)</f>
        <v>0</v>
      </c>
      <c r="K4" s="77">
        <f>SUM(C4:J4)</f>
        <v>8</v>
      </c>
    </row>
    <row r="5" spans="2:11" x14ac:dyDescent="0.2">
      <c r="B5" s="75">
        <v>3</v>
      </c>
      <c r="C5" s="76">
        <f>VLOOKUP($B5,'Classement Final'!$I:$N,5,FALSE)</f>
        <v>6</v>
      </c>
      <c r="D5" s="76">
        <f>VLOOKUP($B5,'Classement Final'!$I:$N,6,FALSE)</f>
        <v>0</v>
      </c>
      <c r="E5" s="76">
        <f>VLOOKUP($B5,'Classement Final'!$O:$T,5,FALSE)</f>
        <v>6</v>
      </c>
      <c r="F5" s="76">
        <f>VLOOKUP($B5,'Classement Final'!$O:$T,6,FALSE)</f>
        <v>0</v>
      </c>
      <c r="G5" s="76">
        <f>VLOOKUP($B5,'Classement Final'!$U:$Z,5,FALSE)</f>
        <v>10</v>
      </c>
      <c r="H5" s="76">
        <f>VLOOKUP($B5,'Classement Final'!$U:$Z,6,FALSE)</f>
        <v>0</v>
      </c>
      <c r="I5" s="76">
        <f>VLOOKUP($B5,'Classement Final'!$AA:$AF,5,FALSE)</f>
        <v>1</v>
      </c>
      <c r="J5" s="76">
        <f>VLOOKUP($B5,'Classement Final'!$AA:$AF,6,FALSE)</f>
        <v>0</v>
      </c>
      <c r="K5" s="77">
        <f>SUM(C5:J5)</f>
        <v>23</v>
      </c>
    </row>
    <row r="6" spans="2:11" x14ac:dyDescent="0.2">
      <c r="B6" s="75">
        <v>4</v>
      </c>
      <c r="C6" s="76">
        <f>VLOOKUP($B6,'Classement Final'!$I:$N,5,FALSE)</f>
        <v>0</v>
      </c>
      <c r="D6" s="76">
        <f>VLOOKUP($B6,'Classement Final'!$I:$N,6,FALSE)</f>
        <v>0</v>
      </c>
      <c r="E6" s="76">
        <f>VLOOKUP($B6,'Classement Final'!$O:$T,5,FALSE)</f>
        <v>2</v>
      </c>
      <c r="F6" s="76">
        <f>VLOOKUP($B6,'Classement Final'!$O:$T,6,FALSE)</f>
        <v>0</v>
      </c>
      <c r="G6" s="76">
        <f>VLOOKUP($B6,'Classement Final'!$U:$Z,5,FALSE)</f>
        <v>2</v>
      </c>
      <c r="H6" s="76">
        <f>VLOOKUP($B6,'Classement Final'!$U:$Z,6,FALSE)</f>
        <v>0</v>
      </c>
      <c r="I6" s="76">
        <f>VLOOKUP($B6,'Classement Final'!$AA:$AF,5,FALSE)</f>
        <v>4</v>
      </c>
      <c r="J6" s="76">
        <f>VLOOKUP($B6,'Classement Final'!$AA:$AF,6,FALSE)</f>
        <v>0</v>
      </c>
      <c r="K6" s="77">
        <f>SUM(C6:J6)</f>
        <v>8</v>
      </c>
    </row>
    <row r="7" spans="2:11" x14ac:dyDescent="0.2">
      <c r="B7" s="75">
        <v>5</v>
      </c>
      <c r="C7" s="76">
        <f>VLOOKUP($B7,'Classement Final'!$I:$N,5,FALSE)</f>
        <v>6</v>
      </c>
      <c r="D7" s="76">
        <f>VLOOKUP($B7,'Classement Final'!$I:$N,6,FALSE)</f>
        <v>0</v>
      </c>
      <c r="E7" s="76">
        <f>VLOOKUP($B7,'Classement Final'!$O:$T,5,FALSE)</f>
        <v>3</v>
      </c>
      <c r="F7" s="76">
        <f>VLOOKUP($B7,'Classement Final'!$O:$T,6,FALSE)</f>
        <v>0</v>
      </c>
      <c r="G7" s="76">
        <f>VLOOKUP($B7,'Classement Final'!$U:$Z,5,FALSE)</f>
        <v>0</v>
      </c>
      <c r="H7" s="76">
        <f>VLOOKUP($B7,'Classement Final'!$U:$Z,6,FALSE)</f>
        <v>0</v>
      </c>
      <c r="I7" s="76">
        <f>VLOOKUP($B7,'Classement Final'!$AA:$AF,5,FALSE)</f>
        <v>1</v>
      </c>
      <c r="J7" s="76">
        <f>VLOOKUP($B7,'Classement Final'!$AA:$AF,6,FALSE)</f>
        <v>0</v>
      </c>
      <c r="K7" s="77">
        <f>SUM(C7:J7)</f>
        <v>10</v>
      </c>
    </row>
    <row r="8" spans="2:11" x14ac:dyDescent="0.2">
      <c r="B8" s="75">
        <v>6</v>
      </c>
      <c r="C8" s="76">
        <f>VLOOKUP($B8,'Classement Final'!$I:$N,5,FALSE)</f>
        <v>1</v>
      </c>
      <c r="D8" s="76">
        <f>VLOOKUP($B8,'Classement Final'!$I:$N,6,FALSE)</f>
        <v>0</v>
      </c>
      <c r="E8" s="76">
        <f>VLOOKUP($B8,'Classement Final'!$O:$T,5,FALSE)</f>
        <v>0</v>
      </c>
      <c r="F8" s="76">
        <f>VLOOKUP($B8,'Classement Final'!$O:$T,6,FALSE)</f>
        <v>0</v>
      </c>
      <c r="G8" s="76">
        <f>VLOOKUP($B8,'Classement Final'!$U:$Z,5,FALSE)</f>
        <v>0</v>
      </c>
      <c r="H8" s="76">
        <f>VLOOKUP($B8,'Classement Final'!$U:$Z,6,FALSE)</f>
        <v>0</v>
      </c>
      <c r="I8" s="76">
        <f>VLOOKUP($B8,'Classement Final'!$AA:$AF,5,FALSE)</f>
        <v>6</v>
      </c>
      <c r="J8" s="76">
        <f>VLOOKUP($B8,'Classement Final'!$AA:$AF,6,FALSE)</f>
        <v>0</v>
      </c>
      <c r="K8" s="77">
        <f>SUM(C8:J8)</f>
        <v>7</v>
      </c>
    </row>
    <row r="9" spans="2:11" x14ac:dyDescent="0.2">
      <c r="B9" s="75">
        <v>7</v>
      </c>
      <c r="C9" s="76">
        <f>VLOOKUP($B9,'Classement Final'!$I:$N,5,FALSE)</f>
        <v>3</v>
      </c>
      <c r="D9" s="76">
        <f>VLOOKUP($B9,'Classement Final'!$I:$N,6,FALSE)</f>
        <v>0</v>
      </c>
      <c r="E9" s="76">
        <f>VLOOKUP($B9,'Classement Final'!$O:$T,5,FALSE)</f>
        <v>2</v>
      </c>
      <c r="F9" s="76">
        <f>VLOOKUP($B9,'Classement Final'!$O:$T,6,FALSE)</f>
        <v>0</v>
      </c>
      <c r="G9" s="76">
        <f>VLOOKUP($B9,'Classement Final'!$U:$Z,5,FALSE)</f>
        <v>1</v>
      </c>
      <c r="H9" s="76">
        <f>VLOOKUP($B9,'Classement Final'!$U:$Z,6,FALSE)</f>
        <v>0</v>
      </c>
      <c r="I9" s="76">
        <f>VLOOKUP($B9,'Classement Final'!$AA:$AF,5,FALSE)</f>
        <v>4</v>
      </c>
      <c r="J9" s="76">
        <f>VLOOKUP($B9,'Classement Final'!$AA:$AF,6,FALSE)</f>
        <v>0</v>
      </c>
      <c r="K9" s="77">
        <f>SUM(C9:J9)</f>
        <v>10</v>
      </c>
    </row>
    <row r="10" spans="2:11" x14ac:dyDescent="0.2">
      <c r="B10" s="75">
        <v>8</v>
      </c>
      <c r="C10" s="76">
        <f>VLOOKUP($B10,'Classement Final'!$I:$N,5,FALSE)</f>
        <v>2</v>
      </c>
      <c r="D10" s="76">
        <f>VLOOKUP($B10,'Classement Final'!$I:$N,6,FALSE)</f>
        <v>0</v>
      </c>
      <c r="E10" s="76">
        <f>VLOOKUP($B10,'Classement Final'!$O:$T,5,FALSE)</f>
        <v>2</v>
      </c>
      <c r="F10" s="76">
        <f>VLOOKUP($B10,'Classement Final'!$O:$T,6,FALSE)</f>
        <v>0</v>
      </c>
      <c r="G10" s="76">
        <f>VLOOKUP($B10,'Classement Final'!$U:$Z,5,FALSE)</f>
        <v>2</v>
      </c>
      <c r="H10" s="76">
        <f>VLOOKUP($B10,'Classement Final'!$U:$Z,6,FALSE)</f>
        <v>0</v>
      </c>
      <c r="I10" s="76">
        <f>VLOOKUP($B10,'Classement Final'!$AA:$AF,5,FALSE)</f>
        <v>0</v>
      </c>
      <c r="J10" s="76">
        <f>VLOOKUP($B10,'Classement Final'!$AA:$AF,6,FALSE)</f>
        <v>0</v>
      </c>
      <c r="K10" s="77">
        <f>SUM(C10:J10)</f>
        <v>6</v>
      </c>
    </row>
    <row r="11" spans="2:11" x14ac:dyDescent="0.2">
      <c r="B11" s="75">
        <v>9</v>
      </c>
      <c r="C11" s="76">
        <f>VLOOKUP($B11,'Classement Final'!$I:$N,5,FALSE)</f>
        <v>5</v>
      </c>
      <c r="D11" s="76">
        <f>VLOOKUP($B11,'Classement Final'!$I:$N,6,FALSE)</f>
        <v>0</v>
      </c>
      <c r="E11" s="76">
        <f>VLOOKUP($B11,'Classement Final'!$O:$T,5,FALSE)</f>
        <v>9</v>
      </c>
      <c r="F11" s="76">
        <f>VLOOKUP($B11,'Classement Final'!$O:$T,6,FALSE)</f>
        <v>0</v>
      </c>
      <c r="G11" s="76">
        <f>VLOOKUP($B11,'Classement Final'!$U:$Z,5,FALSE)</f>
        <v>3</v>
      </c>
      <c r="H11" s="76">
        <f>VLOOKUP($B11,'Classement Final'!$U:$Z,6,FALSE)</f>
        <v>0</v>
      </c>
      <c r="I11" s="76">
        <f>VLOOKUP($B11,'Classement Final'!$AA:$AF,5,FALSE)</f>
        <v>2</v>
      </c>
      <c r="J11" s="76">
        <f>VLOOKUP($B11,'Classement Final'!$AA:$AF,6,FALSE)</f>
        <v>0</v>
      </c>
      <c r="K11" s="77">
        <f>SUM(C11:J11)</f>
        <v>19</v>
      </c>
    </row>
    <row r="12" spans="2:11" x14ac:dyDescent="0.2">
      <c r="B12" s="75">
        <v>10</v>
      </c>
      <c r="C12" s="76">
        <f>VLOOKUP($B12,'Classement Final'!$I:$N,5,FALSE)</f>
        <v>6</v>
      </c>
      <c r="D12" s="76">
        <f>VLOOKUP($B12,'Classement Final'!$I:$N,6,FALSE)</f>
        <v>0</v>
      </c>
      <c r="E12" s="76">
        <f>VLOOKUP($B12,'Classement Final'!$O:$T,5,FALSE)</f>
        <v>2</v>
      </c>
      <c r="F12" s="76">
        <f>VLOOKUP($B12,'Classement Final'!$O:$T,6,FALSE)</f>
        <v>0</v>
      </c>
      <c r="G12" s="76">
        <f>VLOOKUP($B12,'Classement Final'!$U:$Z,5,FALSE)</f>
        <v>4</v>
      </c>
      <c r="H12" s="76">
        <f>VLOOKUP($B12,'Classement Final'!$U:$Z,6,FALSE)</f>
        <v>0</v>
      </c>
      <c r="I12" s="76">
        <f>VLOOKUP($B12,'Classement Final'!$AA:$AF,5,FALSE)</f>
        <v>1</v>
      </c>
      <c r="J12" s="76">
        <f>VLOOKUP($B12,'Classement Final'!$AA:$AF,6,FALSE)</f>
        <v>0</v>
      </c>
      <c r="K12" s="77">
        <f>SUM(C12:J12)</f>
        <v>13</v>
      </c>
    </row>
    <row r="13" spans="2:11" x14ac:dyDescent="0.2">
      <c r="B13" s="75">
        <v>11</v>
      </c>
      <c r="C13" s="76">
        <f>VLOOKUP($B13,'Classement Final'!$I:$N,5,FALSE)</f>
        <v>4</v>
      </c>
      <c r="D13" s="76">
        <f>VLOOKUP($B13,'Classement Final'!$I:$N,6,FALSE)</f>
        <v>0</v>
      </c>
      <c r="E13" s="76">
        <f>VLOOKUP($B13,'Classement Final'!$O:$T,5,FALSE)</f>
        <v>9</v>
      </c>
      <c r="F13" s="76">
        <f>VLOOKUP($B13,'Classement Final'!$O:$T,6,FALSE)</f>
        <v>0</v>
      </c>
      <c r="G13" s="76">
        <f>VLOOKUP($B13,'Classement Final'!$U:$Z,5,FALSE)</f>
        <v>9</v>
      </c>
      <c r="H13" s="76">
        <f>VLOOKUP($B13,'Classement Final'!$U:$Z,6,FALSE)</f>
        <v>0</v>
      </c>
      <c r="I13" s="76">
        <f>VLOOKUP($B13,'Classement Final'!$AA:$AF,5,FALSE)</f>
        <v>6</v>
      </c>
      <c r="J13" s="76">
        <f>VLOOKUP($B13,'Classement Final'!$AA:$AF,6,FALSE)</f>
        <v>0</v>
      </c>
      <c r="K13" s="77">
        <f>SUM(C13:J13)</f>
        <v>28</v>
      </c>
    </row>
    <row r="14" spans="2:11" x14ac:dyDescent="0.2">
      <c r="B14" s="75">
        <v>12</v>
      </c>
      <c r="C14" s="76">
        <f>VLOOKUP($B14,'Classement Final'!$I:$N,5,FALSE)</f>
        <v>5</v>
      </c>
      <c r="D14" s="76">
        <f>VLOOKUP($B14,'Classement Final'!$I:$N,6,FALSE)</f>
        <v>0</v>
      </c>
      <c r="E14" s="76">
        <f>VLOOKUP($B14,'Classement Final'!$O:$T,5,FALSE)</f>
        <v>4</v>
      </c>
      <c r="F14" s="76">
        <f>VLOOKUP($B14,'Classement Final'!$O:$T,6,FALSE)</f>
        <v>0</v>
      </c>
      <c r="G14" s="76">
        <f>VLOOKUP($B14,'Classement Final'!$U:$Z,5,FALSE)</f>
        <v>2</v>
      </c>
      <c r="H14" s="76">
        <f>VLOOKUP($B14,'Classement Final'!$U:$Z,6,FALSE)</f>
        <v>0</v>
      </c>
      <c r="I14" s="76">
        <f>VLOOKUP($B14,'Classement Final'!$AA:$AF,5,FALSE)</f>
        <v>5</v>
      </c>
      <c r="J14" s="76">
        <f>VLOOKUP($B14,'Classement Final'!$AA:$AF,6,FALSE)</f>
        <v>0</v>
      </c>
      <c r="K14" s="77">
        <f>SUM(C14:J14)</f>
        <v>16</v>
      </c>
    </row>
    <row r="15" spans="2:11" x14ac:dyDescent="0.2">
      <c r="B15" s="75">
        <v>13</v>
      </c>
      <c r="C15" s="76">
        <f>VLOOKUP($B15,'Classement Final'!$I:$N,5,FALSE)</f>
        <v>9</v>
      </c>
      <c r="D15" s="76">
        <f>VLOOKUP($B15,'Classement Final'!$I:$N,6,FALSE)</f>
        <v>0</v>
      </c>
      <c r="E15" s="76">
        <f>VLOOKUP($B15,'Classement Final'!$O:$T,5,FALSE)</f>
        <v>3</v>
      </c>
      <c r="F15" s="76">
        <f>VLOOKUP($B15,'Classement Final'!$O:$T,6,FALSE)</f>
        <v>0</v>
      </c>
      <c r="G15" s="76">
        <f>VLOOKUP($B15,'Classement Final'!$U:$Z,5,FALSE)</f>
        <v>3</v>
      </c>
      <c r="H15" s="76">
        <f>VLOOKUP($B15,'Classement Final'!$U:$Z,6,FALSE)</f>
        <v>0</v>
      </c>
      <c r="I15" s="76">
        <f>VLOOKUP($B15,'Classement Final'!$AA:$AF,5,FALSE)</f>
        <v>4</v>
      </c>
      <c r="J15" s="76">
        <f>VLOOKUP($B15,'Classement Final'!$AA:$AF,6,FALSE)</f>
        <v>0</v>
      </c>
      <c r="K15" s="77">
        <f>SUM(C15:J15)</f>
        <v>19</v>
      </c>
    </row>
    <row r="16" spans="2:11" x14ac:dyDescent="0.2">
      <c r="B16" s="75">
        <v>14</v>
      </c>
      <c r="C16" s="76">
        <f>VLOOKUP($B16,'Classement Final'!$I:$N,5,FALSE)</f>
        <v>2</v>
      </c>
      <c r="D16" s="76">
        <f>VLOOKUP($B16,'Classement Final'!$I:$N,6,FALSE)</f>
        <v>0</v>
      </c>
      <c r="E16" s="76">
        <f>VLOOKUP($B16,'Classement Final'!$O:$T,5,FALSE)</f>
        <v>8</v>
      </c>
      <c r="F16" s="76">
        <f>VLOOKUP($B16,'Classement Final'!$O:$T,6,FALSE)</f>
        <v>0</v>
      </c>
      <c r="G16" s="76">
        <f>VLOOKUP($B16,'Classement Final'!$U:$Z,5,FALSE)</f>
        <v>1</v>
      </c>
      <c r="H16" s="76">
        <f>VLOOKUP($B16,'Classement Final'!$U:$Z,6,FALSE)</f>
        <v>0</v>
      </c>
      <c r="I16" s="76">
        <f>VLOOKUP($B16,'Classement Final'!$AA:$AF,5,FALSE)</f>
        <v>1</v>
      </c>
      <c r="J16" s="76">
        <f>VLOOKUP($B16,'Classement Final'!$AA:$AF,6,FALSE)</f>
        <v>0</v>
      </c>
      <c r="K16" s="77">
        <f>SUM(C16:J16)</f>
        <v>12</v>
      </c>
    </row>
    <row r="17" spans="2:11" x14ac:dyDescent="0.2">
      <c r="B17" s="75">
        <v>15</v>
      </c>
      <c r="C17" s="76">
        <f>VLOOKUP($B17,'Classement Final'!$I:$N,5,FALSE)</f>
        <v>1</v>
      </c>
      <c r="D17" s="76">
        <f>VLOOKUP($B17,'Classement Final'!$I:$N,6,FALSE)</f>
        <v>0</v>
      </c>
      <c r="E17" s="76">
        <f>VLOOKUP($B17,'Classement Final'!$O:$T,5,FALSE)</f>
        <v>0</v>
      </c>
      <c r="F17" s="76">
        <f>VLOOKUP($B17,'Classement Final'!$O:$T,6,FALSE)</f>
        <v>0</v>
      </c>
      <c r="G17" s="76">
        <f>VLOOKUP($B17,'Classement Final'!$U:$Z,5,FALSE)</f>
        <v>1</v>
      </c>
      <c r="H17" s="76">
        <f>VLOOKUP($B17,'Classement Final'!$U:$Z,6,FALSE)</f>
        <v>0</v>
      </c>
      <c r="I17" s="76">
        <f>VLOOKUP($B17,'Classement Final'!$AA:$AF,5,FALSE)</f>
        <v>1</v>
      </c>
      <c r="J17" s="76">
        <f>VLOOKUP($B17,'Classement Final'!$AA:$AF,6,FALSE)</f>
        <v>0</v>
      </c>
      <c r="K17" s="77">
        <f>SUM(C17:J17)</f>
        <v>3</v>
      </c>
    </row>
    <row r="18" spans="2:11" x14ac:dyDescent="0.2">
      <c r="B18" s="75">
        <v>16</v>
      </c>
      <c r="C18" s="76">
        <f>VLOOKUP($B18,'Classement Final'!$I:$N,5,FALSE)</f>
        <v>3</v>
      </c>
      <c r="D18" s="76">
        <f>VLOOKUP($B18,'Classement Final'!$I:$N,6,FALSE)</f>
        <v>0</v>
      </c>
      <c r="E18" s="76">
        <f>VLOOKUP($B18,'Classement Final'!$O:$T,5,FALSE)</f>
        <v>3</v>
      </c>
      <c r="F18" s="76">
        <f>VLOOKUP($B18,'Classement Final'!$O:$T,6,FALSE)</f>
        <v>0</v>
      </c>
      <c r="G18" s="76">
        <f>VLOOKUP($B18,'Classement Final'!$U:$Z,5,FALSE)</f>
        <v>4</v>
      </c>
      <c r="H18" s="76">
        <f>VLOOKUP($B18,'Classement Final'!$U:$Z,6,FALSE)</f>
        <v>0</v>
      </c>
      <c r="I18" s="76">
        <f>VLOOKUP($B18,'Classement Final'!$AA:$AF,5,FALSE)</f>
        <v>4</v>
      </c>
      <c r="J18" s="76">
        <f>VLOOKUP($B18,'Classement Final'!$AA:$AF,6,FALSE)</f>
        <v>0</v>
      </c>
      <c r="K18" s="77">
        <f>SUM(C18:J18)</f>
        <v>14</v>
      </c>
    </row>
    <row r="19" spans="2:11" x14ac:dyDescent="0.2">
      <c r="B19" s="75">
        <v>17</v>
      </c>
      <c r="C19" s="76">
        <f>VLOOKUP($B19,'Classement Final'!$I:$N,5,FALSE)</f>
        <v>0</v>
      </c>
      <c r="D19" s="76">
        <f>VLOOKUP($B19,'Classement Final'!$I:$N,6,FALSE)</f>
        <v>0</v>
      </c>
      <c r="E19" s="76">
        <f>VLOOKUP($B19,'Classement Final'!$O:$T,5,FALSE)</f>
        <v>0</v>
      </c>
      <c r="F19" s="76">
        <f>VLOOKUP($B19,'Classement Final'!$O:$T,6,FALSE)</f>
        <v>0</v>
      </c>
      <c r="G19" s="76">
        <f>VLOOKUP($B19,'Classement Final'!$U:$Z,5,FALSE)</f>
        <v>2</v>
      </c>
      <c r="H19" s="76">
        <f>VLOOKUP($B19,'Classement Final'!$U:$Z,6,FALSE)</f>
        <v>0</v>
      </c>
      <c r="I19" s="76">
        <f>VLOOKUP($B19,'Classement Final'!$AA:$AF,5,FALSE)</f>
        <v>1</v>
      </c>
      <c r="J19" s="76">
        <f>VLOOKUP($B19,'Classement Final'!$AA:$AF,6,FALSE)</f>
        <v>0</v>
      </c>
      <c r="K19" s="77">
        <f>SUM(C19:J19)</f>
        <v>3</v>
      </c>
    </row>
    <row r="20" spans="2:11" x14ac:dyDescent="0.2">
      <c r="B20" s="75">
        <v>18</v>
      </c>
      <c r="C20" s="76">
        <f>VLOOKUP($B20,'Classement Final'!$I:$N,5,FALSE)</f>
        <v>0</v>
      </c>
      <c r="D20" s="76">
        <f>VLOOKUP($B20,'Classement Final'!$I:$N,6,FALSE)</f>
        <v>0</v>
      </c>
      <c r="E20" s="76">
        <f>VLOOKUP($B20,'Classement Final'!$O:$T,5,FALSE)</f>
        <v>3</v>
      </c>
      <c r="F20" s="76">
        <f>VLOOKUP($B20,'Classement Final'!$O:$T,6,FALSE)</f>
        <v>0</v>
      </c>
      <c r="G20" s="76">
        <f>VLOOKUP($B20,'Classement Final'!$U:$Z,5,FALSE)</f>
        <v>5</v>
      </c>
      <c r="H20" s="76">
        <f>VLOOKUP($B20,'Classement Final'!$U:$Z,6,FALSE)</f>
        <v>0</v>
      </c>
      <c r="I20" s="76">
        <f>VLOOKUP($B20,'Classement Final'!$AA:$AF,5,FALSE)</f>
        <v>2</v>
      </c>
      <c r="J20" s="76">
        <f>VLOOKUP($B20,'Classement Final'!$AA:$AF,6,FALSE)</f>
        <v>0</v>
      </c>
      <c r="K20" s="77">
        <f>SUM(C20:J20)</f>
        <v>10</v>
      </c>
    </row>
    <row r="21" spans="2:11" x14ac:dyDescent="0.2">
      <c r="B21" s="75">
        <v>19</v>
      </c>
      <c r="C21" s="76">
        <f>VLOOKUP($B21,'Classement Final'!$I:$N,5,FALSE)</f>
        <v>6</v>
      </c>
      <c r="D21" s="76">
        <f>VLOOKUP($B21,'Classement Final'!$I:$N,6,FALSE)</f>
        <v>0</v>
      </c>
      <c r="E21" s="76">
        <f>VLOOKUP($B21,'Classement Final'!$O:$T,5,FALSE)</f>
        <v>1</v>
      </c>
      <c r="F21" s="76">
        <f>VLOOKUP($B21,'Classement Final'!$O:$T,6,FALSE)</f>
        <v>0</v>
      </c>
      <c r="G21" s="76">
        <f>VLOOKUP($B21,'Classement Final'!$U:$Z,5,FALSE)</f>
        <v>2</v>
      </c>
      <c r="H21" s="76">
        <f>VLOOKUP($B21,'Classement Final'!$U:$Z,6,FALSE)</f>
        <v>0</v>
      </c>
      <c r="I21" s="76">
        <f>VLOOKUP($B21,'Classement Final'!$AA:$AF,5,FALSE)</f>
        <v>4</v>
      </c>
      <c r="J21" s="76">
        <f>VLOOKUP($B21,'Classement Final'!$AA:$AF,6,FALSE)</f>
        <v>0</v>
      </c>
      <c r="K21" s="77">
        <f>SUM(C21:J21)</f>
        <v>13</v>
      </c>
    </row>
    <row r="22" spans="2:11" x14ac:dyDescent="0.2">
      <c r="B22" s="75">
        <v>20</v>
      </c>
      <c r="C22" s="76">
        <f>VLOOKUP($B22,'Classement Final'!$I:$N,5,FALSE)</f>
        <v>1</v>
      </c>
      <c r="D22" s="76">
        <f>VLOOKUP($B22,'Classement Final'!$I:$N,6,FALSE)</f>
        <v>0</v>
      </c>
      <c r="E22" s="76">
        <f>VLOOKUP($B22,'Classement Final'!$O:$T,5,FALSE)</f>
        <v>1</v>
      </c>
      <c r="F22" s="76">
        <f>VLOOKUP($B22,'Classement Final'!$O:$T,6,FALSE)</f>
        <v>0</v>
      </c>
      <c r="G22" s="76">
        <f>VLOOKUP($B22,'Classement Final'!$U:$Z,5,FALSE)</f>
        <v>2</v>
      </c>
      <c r="H22" s="76">
        <f>VLOOKUP($B22,'Classement Final'!$U:$Z,6,FALSE)</f>
        <v>0</v>
      </c>
      <c r="I22" s="76">
        <f>VLOOKUP($B22,'Classement Final'!$AA:$AF,5,FALSE)</f>
        <v>0</v>
      </c>
      <c r="J22" s="76">
        <f>VLOOKUP($B22,'Classement Final'!$AA:$AF,6,FALSE)</f>
        <v>0</v>
      </c>
      <c r="K22" s="77">
        <f>SUM(C22:J22)</f>
        <v>4</v>
      </c>
    </row>
    <row r="23" spans="2:11" x14ac:dyDescent="0.2">
      <c r="B23" s="75">
        <v>21</v>
      </c>
      <c r="C23" s="76">
        <f>VLOOKUP($B23,'Classement Final'!$I:$N,5,FALSE)</f>
        <v>0</v>
      </c>
      <c r="D23" s="76">
        <f>VLOOKUP($B23,'Classement Final'!$I:$N,6,FALSE)</f>
        <v>0</v>
      </c>
      <c r="E23" s="76">
        <f>VLOOKUP($B23,'Classement Final'!$O:$T,5,FALSE)</f>
        <v>0</v>
      </c>
      <c r="F23" s="76">
        <f>VLOOKUP($B23,'Classement Final'!$O:$T,6,FALSE)</f>
        <v>0</v>
      </c>
      <c r="G23" s="76">
        <f>VLOOKUP($B23,'Classement Final'!$U:$Z,5,FALSE)</f>
        <v>0</v>
      </c>
      <c r="H23" s="76">
        <f>VLOOKUP($B23,'Classement Final'!$U:$Z,6,FALSE)</f>
        <v>0</v>
      </c>
      <c r="I23" s="76">
        <f>VLOOKUP($B23,'Classement Final'!$AA:$AF,5,FALSE)</f>
        <v>0</v>
      </c>
      <c r="J23" s="76">
        <f>VLOOKUP($B23,'Classement Final'!$AA:$AF,6,FALSE)</f>
        <v>0</v>
      </c>
      <c r="K23" s="77">
        <f>SUM(C23:J23)</f>
        <v>0</v>
      </c>
    </row>
    <row r="24" spans="2:11" x14ac:dyDescent="0.2">
      <c r="B24" s="75">
        <v>22</v>
      </c>
      <c r="C24" s="76">
        <f>VLOOKUP($B24,'Classement Final'!$I:$N,5,FALSE)</f>
        <v>1</v>
      </c>
      <c r="D24" s="76">
        <f>VLOOKUP($B24,'Classement Final'!$I:$N,6,FALSE)</f>
        <v>0</v>
      </c>
      <c r="E24" s="76">
        <f>VLOOKUP($B24,'Classement Final'!$O:$T,5,FALSE)</f>
        <v>4</v>
      </c>
      <c r="F24" s="76">
        <f>VLOOKUP($B24,'Classement Final'!$O:$T,6,FALSE)</f>
        <v>0</v>
      </c>
      <c r="G24" s="76">
        <f>VLOOKUP($B24,'Classement Final'!$U:$Z,5,FALSE)</f>
        <v>3</v>
      </c>
      <c r="H24" s="76">
        <f>VLOOKUP($B24,'Classement Final'!$U:$Z,6,FALSE)</f>
        <v>0</v>
      </c>
      <c r="I24" s="76">
        <f>VLOOKUP($B24,'Classement Final'!$AA:$AF,5,FALSE)</f>
        <v>1</v>
      </c>
      <c r="J24" s="76">
        <f>VLOOKUP($B24,'Classement Final'!$AA:$AF,6,FALSE)</f>
        <v>0</v>
      </c>
      <c r="K24" s="77">
        <f>SUM(C24:J24)</f>
        <v>9</v>
      </c>
    </row>
    <row r="25" spans="2:11" x14ac:dyDescent="0.2">
      <c r="B25" s="75">
        <v>23</v>
      </c>
      <c r="C25" s="76">
        <f>VLOOKUP($B25,'Classement Final'!$I:$N,5,FALSE)</f>
        <v>0</v>
      </c>
      <c r="D25" s="76">
        <f>VLOOKUP($B25,'Classement Final'!$I:$N,6,FALSE)</f>
        <v>0</v>
      </c>
      <c r="E25" s="76">
        <f>VLOOKUP($B25,'Classement Final'!$O:$T,5,FALSE)</f>
        <v>1</v>
      </c>
      <c r="F25" s="76">
        <f>VLOOKUP($B25,'Classement Final'!$O:$T,6,FALSE)</f>
        <v>0</v>
      </c>
      <c r="G25" s="76">
        <f>VLOOKUP($B25,'Classement Final'!$U:$Z,5,FALSE)</f>
        <v>3</v>
      </c>
      <c r="H25" s="76">
        <f>VLOOKUP($B25,'Classement Final'!$U:$Z,6,FALSE)</f>
        <v>0</v>
      </c>
      <c r="I25" s="76">
        <f>VLOOKUP($B25,'Classement Final'!$AA:$AF,5,FALSE)</f>
        <v>1</v>
      </c>
      <c r="J25" s="76">
        <f>VLOOKUP($B25,'Classement Final'!$AA:$AF,6,FALSE)</f>
        <v>0</v>
      </c>
      <c r="K25" s="77">
        <f>SUM(C25:J25)</f>
        <v>5</v>
      </c>
    </row>
    <row r="26" spans="2:11" x14ac:dyDescent="0.2">
      <c r="B26" s="75">
        <v>24</v>
      </c>
      <c r="C26" s="76">
        <f>VLOOKUP($B26,'Classement Final'!$I:$N,5,FALSE)</f>
        <v>2</v>
      </c>
      <c r="D26" s="76">
        <f>VLOOKUP($B26,'Classement Final'!$I:$N,6,FALSE)</f>
        <v>0</v>
      </c>
      <c r="E26" s="76">
        <f>VLOOKUP($B26,'Classement Final'!$O:$T,5,FALSE)</f>
        <v>0</v>
      </c>
      <c r="F26" s="76">
        <f>VLOOKUP($B26,'Classement Final'!$O:$T,6,FALSE)</f>
        <v>0</v>
      </c>
      <c r="G26" s="76">
        <f>VLOOKUP($B26,'Classement Final'!$U:$Z,5,FALSE)</f>
        <v>5</v>
      </c>
      <c r="H26" s="76">
        <f>VLOOKUP($B26,'Classement Final'!$U:$Z,6,FALSE)</f>
        <v>0</v>
      </c>
      <c r="I26" s="76">
        <f>VLOOKUP($B26,'Classement Final'!$AA:$AF,5,FALSE)</f>
        <v>5</v>
      </c>
      <c r="J26" s="76">
        <f>VLOOKUP($B26,'Classement Final'!$AA:$AF,6,FALSE)</f>
        <v>0</v>
      </c>
      <c r="K26" s="77">
        <f>SUM(C26:J26)</f>
        <v>12</v>
      </c>
    </row>
    <row r="27" spans="2:11" x14ac:dyDescent="0.2">
      <c r="B27" s="75">
        <v>25</v>
      </c>
      <c r="C27" s="76">
        <f>VLOOKUP($B27,'Classement Final'!$I:$N,5,FALSE)</f>
        <v>1</v>
      </c>
      <c r="D27" s="76">
        <f>VLOOKUP($B27,'Classement Final'!$I:$N,6,FALSE)</f>
        <v>0</v>
      </c>
      <c r="E27" s="76">
        <f>VLOOKUP($B27,'Classement Final'!$O:$T,5,FALSE)</f>
        <v>1</v>
      </c>
      <c r="F27" s="76">
        <f>VLOOKUP($B27,'Classement Final'!$O:$T,6,FALSE)</f>
        <v>0</v>
      </c>
      <c r="G27" s="76">
        <f>VLOOKUP($B27,'Classement Final'!$U:$Z,5,FALSE)</f>
        <v>1</v>
      </c>
      <c r="H27" s="76">
        <f>VLOOKUP($B27,'Classement Final'!$U:$Z,6,FALSE)</f>
        <v>0</v>
      </c>
      <c r="I27" s="76">
        <f>VLOOKUP($B27,'Classement Final'!$AA:$AF,5,FALSE)</f>
        <v>4</v>
      </c>
      <c r="J27" s="76">
        <f>VLOOKUP($B27,'Classement Final'!$AA:$AF,6,FALSE)</f>
        <v>0</v>
      </c>
      <c r="K27" s="77">
        <f>SUM(C27:J27)</f>
        <v>7</v>
      </c>
    </row>
    <row r="28" spans="2:11" x14ac:dyDescent="0.2">
      <c r="B28" s="75">
        <v>26</v>
      </c>
      <c r="C28" s="76">
        <f>VLOOKUP($B28,'Classement Final'!$I:$N,5,FALSE)</f>
        <v>4</v>
      </c>
      <c r="D28" s="76">
        <f>VLOOKUP($B28,'Classement Final'!$I:$N,6,FALSE)</f>
        <v>0</v>
      </c>
      <c r="E28" s="76">
        <f>VLOOKUP($B28,'Classement Final'!$O:$T,5,FALSE)</f>
        <v>2</v>
      </c>
      <c r="F28" s="76">
        <f>VLOOKUP($B28,'Classement Final'!$O:$T,6,FALSE)</f>
        <v>0</v>
      </c>
      <c r="G28" s="76">
        <f>VLOOKUP($B28,'Classement Final'!$U:$Z,5,FALSE)</f>
        <v>4</v>
      </c>
      <c r="H28" s="76">
        <f>VLOOKUP($B28,'Classement Final'!$U:$Z,6,FALSE)</f>
        <v>0</v>
      </c>
      <c r="I28" s="76">
        <f>VLOOKUP($B28,'Classement Final'!$AA:$AF,5,FALSE)</f>
        <v>5</v>
      </c>
      <c r="J28" s="76">
        <f>VLOOKUP($B28,'Classement Final'!$AA:$AF,6,FALSE)</f>
        <v>0</v>
      </c>
      <c r="K28" s="77">
        <f>SUM(C28:J28)</f>
        <v>15</v>
      </c>
    </row>
    <row r="29" spans="2:11" x14ac:dyDescent="0.2">
      <c r="B29" s="75">
        <v>27</v>
      </c>
      <c r="C29" s="76">
        <f>VLOOKUP($B29,'Classement Final'!$I:$N,5,FALSE)</f>
        <v>3</v>
      </c>
      <c r="D29" s="76">
        <f>VLOOKUP($B29,'Classement Final'!$I:$N,6,FALSE)</f>
        <v>0</v>
      </c>
      <c r="E29" s="76">
        <f>VLOOKUP($B29,'Classement Final'!$O:$T,5,FALSE)</f>
        <v>4</v>
      </c>
      <c r="F29" s="76">
        <f>VLOOKUP($B29,'Classement Final'!$O:$T,6,FALSE)</f>
        <v>0</v>
      </c>
      <c r="G29" s="76">
        <f>VLOOKUP($B29,'Classement Final'!$U:$Z,5,FALSE)</f>
        <v>1</v>
      </c>
      <c r="H29" s="76">
        <f>VLOOKUP($B29,'Classement Final'!$U:$Z,6,FALSE)</f>
        <v>0</v>
      </c>
      <c r="I29" s="76">
        <f>VLOOKUP($B29,'Classement Final'!$AA:$AF,5,FALSE)</f>
        <v>3</v>
      </c>
      <c r="J29" s="76">
        <f>VLOOKUP($B29,'Classement Final'!$AA:$AF,6,FALSE)</f>
        <v>0</v>
      </c>
      <c r="K29" s="77">
        <f>SUM(C29:J29)</f>
        <v>11</v>
      </c>
    </row>
    <row r="30" spans="2:11" x14ac:dyDescent="0.2">
      <c r="B30" s="75">
        <v>28</v>
      </c>
      <c r="C30" s="76">
        <f>VLOOKUP($B30,'Classement Final'!$I:$N,5,FALSE)</f>
        <v>5</v>
      </c>
      <c r="D30" s="76">
        <f>VLOOKUP($B30,'Classement Final'!$I:$N,6,FALSE)</f>
        <v>0</v>
      </c>
      <c r="E30" s="76">
        <f>VLOOKUP($B30,'Classement Final'!$O:$T,5,FALSE)</f>
        <v>3</v>
      </c>
      <c r="F30" s="76">
        <f>VLOOKUP($B30,'Classement Final'!$O:$T,6,FALSE)</f>
        <v>0</v>
      </c>
      <c r="G30" s="76">
        <f>VLOOKUP($B30,'Classement Final'!$U:$Z,5,FALSE)</f>
        <v>6</v>
      </c>
      <c r="H30" s="76">
        <f>VLOOKUP($B30,'Classement Final'!$U:$Z,6,FALSE)</f>
        <v>0</v>
      </c>
      <c r="I30" s="76">
        <f>VLOOKUP($B30,'Classement Final'!$AA:$AF,5,FALSE)</f>
        <v>1</v>
      </c>
      <c r="J30" s="76">
        <f>VLOOKUP($B30,'Classement Final'!$AA:$AF,6,FALSE)</f>
        <v>0</v>
      </c>
      <c r="K30" s="77">
        <f>SUM(C30:J30)</f>
        <v>15</v>
      </c>
    </row>
    <row r="31" spans="2:11" x14ac:dyDescent="0.2">
      <c r="B31" s="75">
        <v>29</v>
      </c>
      <c r="C31" s="76">
        <f>VLOOKUP($B31,'Classement Final'!$I:$N,5,FALSE)</f>
        <v>7</v>
      </c>
      <c r="D31" s="76">
        <f>VLOOKUP($B31,'Classement Final'!$I:$N,6,FALSE)</f>
        <v>0</v>
      </c>
      <c r="E31" s="76">
        <f>VLOOKUP($B31,'Classement Final'!$O:$T,5,FALSE)</f>
        <v>1</v>
      </c>
      <c r="F31" s="76">
        <f>VLOOKUP($B31,'Classement Final'!$O:$T,6,FALSE)</f>
        <v>0</v>
      </c>
      <c r="G31" s="76">
        <f>VLOOKUP($B31,'Classement Final'!$U:$Z,5,FALSE)</f>
        <v>7</v>
      </c>
      <c r="H31" s="76">
        <f>VLOOKUP($B31,'Classement Final'!$U:$Z,6,FALSE)</f>
        <v>0</v>
      </c>
      <c r="I31" s="76">
        <f>VLOOKUP($B31,'Classement Final'!$AA:$AF,5,FALSE)</f>
        <v>1</v>
      </c>
      <c r="J31" s="76">
        <f>VLOOKUP($B31,'Classement Final'!$AA:$AF,6,FALSE)</f>
        <v>0</v>
      </c>
      <c r="K31" s="77">
        <f>SUM(C31:J31)</f>
        <v>16</v>
      </c>
    </row>
    <row r="32" spans="2:11" x14ac:dyDescent="0.2">
      <c r="B32" s="75">
        <v>30</v>
      </c>
      <c r="C32" s="76">
        <f>VLOOKUP($B32,'Classement Final'!$I:$N,5,FALSE)</f>
        <v>4</v>
      </c>
      <c r="D32" s="76">
        <f>VLOOKUP($B32,'Classement Final'!$I:$N,6,FALSE)</f>
        <v>0</v>
      </c>
      <c r="E32" s="76">
        <f>VLOOKUP($B32,'Classement Final'!$O:$T,5,FALSE)</f>
        <v>3</v>
      </c>
      <c r="F32" s="76">
        <f>VLOOKUP($B32,'Classement Final'!$O:$T,6,FALSE)</f>
        <v>0</v>
      </c>
      <c r="G32" s="76">
        <f>VLOOKUP($B32,'Classement Final'!$U:$Z,5,FALSE)</f>
        <v>1</v>
      </c>
      <c r="H32" s="76">
        <f>VLOOKUP($B32,'Classement Final'!$U:$Z,6,FALSE)</f>
        <v>0</v>
      </c>
      <c r="I32" s="76">
        <f>VLOOKUP($B32,'Classement Final'!$AA:$AF,5,FALSE)</f>
        <v>2</v>
      </c>
      <c r="J32" s="76">
        <f>VLOOKUP($B32,'Classement Final'!$AA:$AF,6,FALSE)</f>
        <v>0</v>
      </c>
      <c r="K32" s="77">
        <f>SUM(C32:J32)</f>
        <v>10</v>
      </c>
    </row>
    <row r="33" spans="2:11" x14ac:dyDescent="0.2">
      <c r="B33" s="75">
        <v>31</v>
      </c>
      <c r="C33" s="76">
        <f>VLOOKUP($B33,'Classement Final'!$I:$N,5,FALSE)</f>
        <v>2</v>
      </c>
      <c r="D33" s="76">
        <f>VLOOKUP($B33,'Classement Final'!$I:$N,6,FALSE)</f>
        <v>0</v>
      </c>
      <c r="E33" s="76">
        <f>VLOOKUP($B33,'Classement Final'!$O:$T,5,FALSE)</f>
        <v>4</v>
      </c>
      <c r="F33" s="76">
        <f>VLOOKUP($B33,'Classement Final'!$O:$T,6,FALSE)</f>
        <v>0</v>
      </c>
      <c r="G33" s="76">
        <f>VLOOKUP($B33,'Classement Final'!$U:$Z,5,FALSE)</f>
        <v>4</v>
      </c>
      <c r="H33" s="76">
        <f>VLOOKUP($B33,'Classement Final'!$U:$Z,6,FALSE)</f>
        <v>0</v>
      </c>
      <c r="I33" s="76">
        <f>VLOOKUP($B33,'Classement Final'!$AA:$AF,5,FALSE)</f>
        <v>2</v>
      </c>
      <c r="J33" s="76">
        <f>VLOOKUP($B33,'Classement Final'!$AA:$AF,6,FALSE)</f>
        <v>0</v>
      </c>
      <c r="K33" s="77">
        <f>SUM(C33:J33)</f>
        <v>12</v>
      </c>
    </row>
    <row r="34" spans="2:11" x14ac:dyDescent="0.2">
      <c r="B34" s="75">
        <v>32</v>
      </c>
      <c r="C34" s="76">
        <f>VLOOKUP($B34,'Classement Final'!$I:$N,5,FALSE)</f>
        <v>5</v>
      </c>
      <c r="D34" s="76">
        <f>VLOOKUP($B34,'Classement Final'!$I:$N,6,FALSE)</f>
        <v>0</v>
      </c>
      <c r="E34" s="76">
        <f>VLOOKUP($B34,'Classement Final'!$O:$T,5,FALSE)</f>
        <v>0</v>
      </c>
      <c r="F34" s="76">
        <f>VLOOKUP($B34,'Classement Final'!$O:$T,6,FALSE)</f>
        <v>0</v>
      </c>
      <c r="G34" s="76">
        <f>VLOOKUP($B34,'Classement Final'!$U:$Z,5,FALSE)</f>
        <v>6</v>
      </c>
      <c r="H34" s="76">
        <f>VLOOKUP($B34,'Classement Final'!$U:$Z,6,FALSE)</f>
        <v>0</v>
      </c>
      <c r="I34" s="76">
        <f>VLOOKUP($B34,'Classement Final'!$AA:$AF,5,FALSE)</f>
        <v>5</v>
      </c>
      <c r="J34" s="76">
        <f>VLOOKUP($B34,'Classement Final'!$AA:$AF,6,FALSE)</f>
        <v>0</v>
      </c>
      <c r="K34" s="77">
        <f>SUM(C34:J34)</f>
        <v>16</v>
      </c>
    </row>
    <row r="35" spans="2:11" x14ac:dyDescent="0.2">
      <c r="B35" s="74"/>
      <c r="C35" s="76"/>
      <c r="D35" s="76"/>
      <c r="E35" s="78"/>
      <c r="F35" s="78"/>
      <c r="G35" s="78"/>
      <c r="H35" s="78"/>
      <c r="I35" s="78"/>
      <c r="J35" s="78"/>
      <c r="K35" s="77"/>
    </row>
    <row r="36" spans="2:11" s="53" customFormat="1" x14ac:dyDescent="0.2">
      <c r="B36" s="74" t="s">
        <v>45</v>
      </c>
      <c r="C36" s="79">
        <f>SUM(C3:C34)</f>
        <v>96</v>
      </c>
      <c r="D36" s="79">
        <f>SUM(D3:D34)</f>
        <v>0</v>
      </c>
      <c r="E36" s="79">
        <f>SUM(E3:E34)</f>
        <v>87</v>
      </c>
      <c r="F36" s="79">
        <f>SUM(F3:F34)</f>
        <v>0</v>
      </c>
      <c r="G36" s="79">
        <f>SUM(G3:G34)</f>
        <v>103</v>
      </c>
      <c r="H36" s="79">
        <f>SUM(H3:H34)</f>
        <v>0</v>
      </c>
      <c r="I36" s="79">
        <f>SUM(I3:I34)</f>
        <v>80</v>
      </c>
      <c r="J36" s="79">
        <f>SUM(J3:J30)</f>
        <v>0</v>
      </c>
      <c r="K36" s="79">
        <f>SUM(K3:K34)</f>
        <v>366</v>
      </c>
    </row>
  </sheetData>
  <autoFilter ref="B2:K34">
    <sortState ref="B3:K34">
      <sortCondition ref="B2:B34"/>
    </sortState>
  </autoFilter>
  <mergeCells count="4">
    <mergeCell ref="C1:D1"/>
    <mergeCell ref="E1:F1"/>
    <mergeCell ref="G1:H1"/>
    <mergeCell ref="I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H41"/>
  <sheetViews>
    <sheetView workbookViewId="0">
      <selection activeCell="H6" sqref="H6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47" t="s">
        <v>21</v>
      </c>
      <c r="B2" s="47" t="s">
        <v>22</v>
      </c>
      <c r="C2" s="48" t="s">
        <v>21</v>
      </c>
      <c r="D2" s="48" t="s">
        <v>22</v>
      </c>
      <c r="E2" s="47" t="s">
        <v>21</v>
      </c>
      <c r="F2" s="47" t="s">
        <v>22</v>
      </c>
      <c r="G2" s="48" t="s">
        <v>21</v>
      </c>
      <c r="H2" s="48" t="s">
        <v>22</v>
      </c>
    </row>
    <row r="3" spans="1:8" x14ac:dyDescent="0.2">
      <c r="A3" s="24" t="s">
        <v>24</v>
      </c>
      <c r="B3" s="25">
        <v>324</v>
      </c>
      <c r="C3" s="27" t="s">
        <v>24</v>
      </c>
      <c r="D3" s="27">
        <v>299</v>
      </c>
      <c r="E3" s="25" t="s">
        <v>24</v>
      </c>
      <c r="F3" s="25">
        <v>254</v>
      </c>
      <c r="G3" s="27" t="s">
        <v>24</v>
      </c>
      <c r="H3" s="27">
        <v>286</v>
      </c>
    </row>
    <row r="4" spans="1:8" x14ac:dyDescent="0.2">
      <c r="A4" s="24" t="s">
        <v>24</v>
      </c>
      <c r="B4" s="25">
        <v>305</v>
      </c>
      <c r="C4" s="27" t="s">
        <v>24</v>
      </c>
      <c r="D4" s="27">
        <v>225</v>
      </c>
      <c r="E4" s="25" t="s">
        <v>24</v>
      </c>
      <c r="F4" s="25">
        <v>214</v>
      </c>
      <c r="G4" s="27" t="s">
        <v>24</v>
      </c>
      <c r="H4" s="27">
        <v>288</v>
      </c>
    </row>
    <row r="5" spans="1:8" x14ac:dyDescent="0.2">
      <c r="A5" s="24" t="s">
        <v>24</v>
      </c>
      <c r="B5" s="25">
        <v>213</v>
      </c>
      <c r="C5" s="27" t="s">
        <v>24</v>
      </c>
      <c r="D5" s="27">
        <v>428</v>
      </c>
      <c r="E5" s="25" t="s">
        <v>24</v>
      </c>
      <c r="F5" s="25">
        <v>277</v>
      </c>
      <c r="G5" s="27" t="s">
        <v>24</v>
      </c>
      <c r="H5" s="27">
        <v>284</v>
      </c>
    </row>
    <row r="6" spans="1:8" x14ac:dyDescent="0.2">
      <c r="A6" s="24"/>
      <c r="B6" s="25"/>
      <c r="C6" s="27" t="s">
        <v>24</v>
      </c>
      <c r="D6" s="27">
        <v>209</v>
      </c>
      <c r="E6" s="25" t="s">
        <v>24</v>
      </c>
      <c r="F6" s="25">
        <v>234</v>
      </c>
      <c r="G6" s="27" t="s">
        <v>24</v>
      </c>
      <c r="H6" s="27">
        <v>245</v>
      </c>
    </row>
    <row r="7" spans="1:8" x14ac:dyDescent="0.2">
      <c r="A7" s="24"/>
      <c r="B7" s="25"/>
      <c r="C7" s="27"/>
      <c r="D7" s="27"/>
      <c r="E7" s="25" t="s">
        <v>24</v>
      </c>
      <c r="F7" s="25">
        <v>370</v>
      </c>
      <c r="G7" s="27"/>
      <c r="H7" s="27"/>
    </row>
    <row r="8" spans="1:8" x14ac:dyDescent="0.2">
      <c r="A8" s="24"/>
      <c r="B8" s="25"/>
      <c r="C8" s="27"/>
      <c r="D8" s="27"/>
      <c r="E8" s="25" t="s">
        <v>24</v>
      </c>
      <c r="F8" s="25">
        <v>287</v>
      </c>
      <c r="G8" s="27"/>
      <c r="H8" s="27"/>
    </row>
    <row r="9" spans="1:8" x14ac:dyDescent="0.2">
      <c r="A9" s="24"/>
      <c r="B9" s="25"/>
      <c r="C9" s="27"/>
      <c r="D9" s="27"/>
      <c r="E9" s="25" t="s">
        <v>24</v>
      </c>
      <c r="F9" s="25">
        <v>211</v>
      </c>
      <c r="G9" s="27"/>
      <c r="H9" s="27"/>
    </row>
    <row r="10" spans="1:8" x14ac:dyDescent="0.2">
      <c r="A10" s="24"/>
      <c r="B10" s="25"/>
      <c r="C10" s="27"/>
      <c r="D10" s="27"/>
      <c r="E10" s="25" t="s">
        <v>24</v>
      </c>
      <c r="F10" s="25">
        <v>340</v>
      </c>
      <c r="G10" s="27"/>
      <c r="H10" s="27"/>
    </row>
    <row r="11" spans="1:8" x14ac:dyDescent="0.2">
      <c r="A11" s="24"/>
      <c r="B11" s="25"/>
      <c r="C11" s="27"/>
      <c r="D11" s="27"/>
      <c r="E11" s="25" t="s">
        <v>24</v>
      </c>
      <c r="F11" s="25">
        <v>371</v>
      </c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47">
        <f>COUNT(B3:B40)</f>
        <v>3</v>
      </c>
      <c r="B41" s="47">
        <f>SUM(B3:B40)</f>
        <v>842</v>
      </c>
      <c r="C41" s="48">
        <f>COUNT(D3:D40)</f>
        <v>4</v>
      </c>
      <c r="D41" s="48">
        <f>SUM(D3:D40)</f>
        <v>1161</v>
      </c>
      <c r="E41" s="47">
        <f>COUNT(F3:F40)</f>
        <v>9</v>
      </c>
      <c r="F41" s="47">
        <f>SUM(F3:F40)</f>
        <v>2558</v>
      </c>
      <c r="G41" s="48">
        <f>COUNT(H3:H40)</f>
        <v>4</v>
      </c>
      <c r="H41" s="48">
        <f>SUM(H3:H40)</f>
        <v>1103</v>
      </c>
    </row>
  </sheetData>
  <dataConsolidate/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H41"/>
  <sheetViews>
    <sheetView workbookViewId="0">
      <selection activeCell="H7" sqref="H7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26" t="s">
        <v>21</v>
      </c>
      <c r="B2" s="26" t="s">
        <v>22</v>
      </c>
      <c r="C2" s="28" t="s">
        <v>21</v>
      </c>
      <c r="D2" s="28" t="s">
        <v>22</v>
      </c>
      <c r="E2" s="26" t="s">
        <v>21</v>
      </c>
      <c r="F2" s="26" t="s">
        <v>22</v>
      </c>
      <c r="G2" s="28" t="s">
        <v>21</v>
      </c>
      <c r="H2" s="28" t="s">
        <v>22</v>
      </c>
    </row>
    <row r="3" spans="1:8" x14ac:dyDescent="0.2">
      <c r="A3" s="24" t="s">
        <v>24</v>
      </c>
      <c r="B3" s="25">
        <v>305</v>
      </c>
      <c r="C3" s="27" t="s">
        <v>24</v>
      </c>
      <c r="D3" s="27">
        <v>263</v>
      </c>
      <c r="E3" s="25"/>
      <c r="F3" s="25"/>
      <c r="G3" s="27" t="s">
        <v>24</v>
      </c>
      <c r="H3" s="27">
        <v>310</v>
      </c>
    </row>
    <row r="4" spans="1:8" x14ac:dyDescent="0.2">
      <c r="A4" s="24" t="s">
        <v>24</v>
      </c>
      <c r="B4" s="25">
        <v>224</v>
      </c>
      <c r="C4" s="27" t="s">
        <v>24</v>
      </c>
      <c r="D4" s="27">
        <v>262</v>
      </c>
      <c r="E4" s="25"/>
      <c r="F4" s="25"/>
      <c r="G4" s="27" t="s">
        <v>24</v>
      </c>
      <c r="H4" s="27">
        <v>370</v>
      </c>
    </row>
    <row r="5" spans="1:8" x14ac:dyDescent="0.2">
      <c r="A5" s="24" t="s">
        <v>24</v>
      </c>
      <c r="B5" s="25">
        <v>208</v>
      </c>
      <c r="C5" s="27" t="s">
        <v>24</v>
      </c>
      <c r="D5" s="27">
        <v>395</v>
      </c>
      <c r="E5" s="25"/>
      <c r="F5" s="25"/>
      <c r="G5" s="27" t="s">
        <v>24</v>
      </c>
      <c r="H5" s="27">
        <v>300</v>
      </c>
    </row>
    <row r="6" spans="1:8" x14ac:dyDescent="0.2">
      <c r="A6" s="24" t="s">
        <v>24</v>
      </c>
      <c r="B6" s="25">
        <v>240</v>
      </c>
      <c r="C6" s="27" t="s">
        <v>24</v>
      </c>
      <c r="D6" s="27">
        <v>385</v>
      </c>
      <c r="E6" s="25"/>
      <c r="F6" s="25"/>
      <c r="G6" s="27" t="s">
        <v>24</v>
      </c>
      <c r="H6" s="27">
        <v>280</v>
      </c>
    </row>
    <row r="7" spans="1:8" x14ac:dyDescent="0.2">
      <c r="A7" s="24" t="s">
        <v>24</v>
      </c>
      <c r="B7" s="25">
        <v>253</v>
      </c>
      <c r="C7" s="27"/>
      <c r="D7" s="27"/>
      <c r="E7" s="25"/>
      <c r="F7" s="25"/>
      <c r="G7" s="27" t="s">
        <v>24</v>
      </c>
      <c r="H7" s="27">
        <v>370</v>
      </c>
    </row>
    <row r="8" spans="1:8" x14ac:dyDescent="0.2">
      <c r="A8" s="24" t="s">
        <v>24</v>
      </c>
      <c r="B8" s="25">
        <v>277</v>
      </c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26">
        <f>COUNT(B3:B40)</f>
        <v>6</v>
      </c>
      <c r="B41" s="26">
        <f>SUM(B3:B40)</f>
        <v>1507</v>
      </c>
      <c r="C41" s="28">
        <f>COUNT(D3:D40)</f>
        <v>4</v>
      </c>
      <c r="D41" s="28">
        <f>SUM(D3:D40)</f>
        <v>1305</v>
      </c>
      <c r="E41" s="26">
        <f>COUNT(F3:F40)</f>
        <v>0</v>
      </c>
      <c r="F41" s="26">
        <f>SUM(F3:F40)</f>
        <v>0</v>
      </c>
      <c r="G41" s="28">
        <f>COUNT(H3:H40)</f>
        <v>5</v>
      </c>
      <c r="H41" s="28">
        <f>SUM(H3:H40)</f>
        <v>1630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H41"/>
  <sheetViews>
    <sheetView workbookViewId="0">
      <selection activeCell="H7" sqref="H7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26" t="s">
        <v>21</v>
      </c>
      <c r="B2" s="26" t="s">
        <v>22</v>
      </c>
      <c r="C2" s="28" t="s">
        <v>21</v>
      </c>
      <c r="D2" s="28" t="s">
        <v>22</v>
      </c>
      <c r="E2" s="26" t="s">
        <v>21</v>
      </c>
      <c r="F2" s="26" t="s">
        <v>22</v>
      </c>
      <c r="G2" s="28" t="s">
        <v>21</v>
      </c>
      <c r="H2" s="28" t="s">
        <v>22</v>
      </c>
    </row>
    <row r="3" spans="1:8" x14ac:dyDescent="0.2">
      <c r="A3" s="24" t="s">
        <v>24</v>
      </c>
      <c r="B3" s="25">
        <v>300</v>
      </c>
      <c r="C3" s="27" t="s">
        <v>24</v>
      </c>
      <c r="D3" s="27">
        <v>250</v>
      </c>
      <c r="E3" s="25" t="s">
        <v>24</v>
      </c>
      <c r="F3" s="25">
        <v>210</v>
      </c>
      <c r="G3" s="27" t="s">
        <v>24</v>
      </c>
      <c r="H3" s="27">
        <v>210</v>
      </c>
    </row>
    <row r="4" spans="1:8" x14ac:dyDescent="0.2">
      <c r="A4" s="24" t="s">
        <v>24</v>
      </c>
      <c r="B4" s="25">
        <v>400</v>
      </c>
      <c r="C4" s="27" t="s">
        <v>24</v>
      </c>
      <c r="D4" s="27">
        <v>361</v>
      </c>
      <c r="E4" s="25"/>
      <c r="F4" s="25"/>
      <c r="G4" s="27" t="s">
        <v>24</v>
      </c>
      <c r="H4" s="27">
        <v>242</v>
      </c>
    </row>
    <row r="5" spans="1:8" x14ac:dyDescent="0.2">
      <c r="A5" s="24"/>
      <c r="B5" s="25"/>
      <c r="C5" s="27" t="s">
        <v>24</v>
      </c>
      <c r="D5" s="27">
        <v>274</v>
      </c>
      <c r="E5" s="25"/>
      <c r="F5" s="25"/>
      <c r="G5" s="27" t="s">
        <v>24</v>
      </c>
      <c r="H5" s="27">
        <v>222</v>
      </c>
    </row>
    <row r="6" spans="1:8" x14ac:dyDescent="0.2">
      <c r="A6" s="24"/>
      <c r="B6" s="25"/>
      <c r="C6" s="27" t="s">
        <v>24</v>
      </c>
      <c r="D6" s="27">
        <v>204</v>
      </c>
      <c r="E6" s="25"/>
      <c r="F6" s="25"/>
      <c r="G6" s="27" t="s">
        <v>24</v>
      </c>
      <c r="H6" s="27">
        <v>310</v>
      </c>
    </row>
    <row r="7" spans="1:8" x14ac:dyDescent="0.2">
      <c r="A7" s="24"/>
      <c r="B7" s="25"/>
      <c r="C7" s="27"/>
      <c r="D7" s="27"/>
      <c r="E7" s="25"/>
      <c r="F7" s="25"/>
      <c r="G7" s="27" t="s">
        <v>24</v>
      </c>
      <c r="H7" s="27">
        <v>363</v>
      </c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26">
        <f>COUNT(B3:B40)</f>
        <v>2</v>
      </c>
      <c r="B41" s="26">
        <f>SUM(B3:B40)</f>
        <v>700</v>
      </c>
      <c r="C41" s="28">
        <f t="shared" ref="C41" si="0">COUNT(D3:D40)</f>
        <v>4</v>
      </c>
      <c r="D41" s="28">
        <f t="shared" ref="D41" si="1">SUM(D3:D40)</f>
        <v>1089</v>
      </c>
      <c r="E41" s="26">
        <f t="shared" ref="E41" si="2">COUNT(F3:F40)</f>
        <v>1</v>
      </c>
      <c r="F41" s="26">
        <f t="shared" ref="F41" si="3">SUM(F3:F40)</f>
        <v>210</v>
      </c>
      <c r="G41" s="28">
        <f t="shared" ref="G41" si="4">COUNT(H3:H40)</f>
        <v>5</v>
      </c>
      <c r="H41" s="28">
        <f t="shared" ref="H41" si="5">SUM(H3:H40)</f>
        <v>1347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H41"/>
  <sheetViews>
    <sheetView workbookViewId="0">
      <selection activeCell="H3" sqref="H3"/>
    </sheetView>
  </sheetViews>
  <sheetFormatPr baseColWidth="10" defaultRowHeight="12.75" x14ac:dyDescent="0.2"/>
  <sheetData>
    <row r="1" spans="1:8" x14ac:dyDescent="0.2">
      <c r="A1" s="107" t="s">
        <v>17</v>
      </c>
      <c r="B1" s="107"/>
      <c r="C1" s="108" t="s">
        <v>18</v>
      </c>
      <c r="D1" s="108"/>
      <c r="E1" s="107" t="s">
        <v>19</v>
      </c>
      <c r="F1" s="107"/>
      <c r="G1" s="108" t="s">
        <v>20</v>
      </c>
      <c r="H1" s="108"/>
    </row>
    <row r="2" spans="1:8" x14ac:dyDescent="0.2">
      <c r="A2" s="26" t="s">
        <v>21</v>
      </c>
      <c r="B2" s="26" t="s">
        <v>22</v>
      </c>
      <c r="C2" s="28" t="s">
        <v>21</v>
      </c>
      <c r="D2" s="28" t="s">
        <v>22</v>
      </c>
      <c r="E2" s="26" t="s">
        <v>21</v>
      </c>
      <c r="F2" s="26" t="s">
        <v>22</v>
      </c>
      <c r="G2" s="28" t="s">
        <v>21</v>
      </c>
      <c r="H2" s="28" t="s">
        <v>22</v>
      </c>
    </row>
    <row r="3" spans="1:8" x14ac:dyDescent="0.2">
      <c r="A3" s="24" t="s">
        <v>24</v>
      </c>
      <c r="B3" s="25">
        <v>223</v>
      </c>
      <c r="C3" s="27" t="s">
        <v>24</v>
      </c>
      <c r="D3" s="27">
        <v>221</v>
      </c>
      <c r="E3" s="25" t="s">
        <v>24</v>
      </c>
      <c r="F3" s="25">
        <v>336</v>
      </c>
      <c r="G3" s="27" t="s">
        <v>24</v>
      </c>
      <c r="H3" s="27">
        <v>267</v>
      </c>
    </row>
    <row r="4" spans="1:8" x14ac:dyDescent="0.2">
      <c r="A4" s="24" t="s">
        <v>24</v>
      </c>
      <c r="B4" s="25">
        <v>324</v>
      </c>
      <c r="C4" s="27" t="s">
        <v>24</v>
      </c>
      <c r="D4" s="27">
        <v>326</v>
      </c>
      <c r="E4" s="25"/>
      <c r="F4" s="25"/>
      <c r="G4" s="27"/>
      <c r="H4" s="27"/>
    </row>
    <row r="5" spans="1:8" x14ac:dyDescent="0.2">
      <c r="A5" s="24"/>
      <c r="B5" s="25"/>
      <c r="C5" s="27" t="s">
        <v>24</v>
      </c>
      <c r="D5" s="27">
        <v>354</v>
      </c>
      <c r="E5" s="25"/>
      <c r="F5" s="25"/>
      <c r="G5" s="27"/>
      <c r="H5" s="27"/>
    </row>
    <row r="6" spans="1:8" x14ac:dyDescent="0.2">
      <c r="A6" s="24"/>
      <c r="B6" s="25"/>
      <c r="C6" s="27" t="s">
        <v>24</v>
      </c>
      <c r="D6" s="27">
        <v>311</v>
      </c>
      <c r="E6" s="25"/>
      <c r="F6" s="25"/>
      <c r="G6" s="27"/>
      <c r="H6" s="27"/>
    </row>
    <row r="7" spans="1:8" x14ac:dyDescent="0.2">
      <c r="A7" s="24"/>
      <c r="B7" s="25"/>
      <c r="C7" s="27"/>
      <c r="D7" s="27"/>
      <c r="E7" s="25"/>
      <c r="F7" s="25"/>
      <c r="G7" s="27"/>
      <c r="H7" s="27"/>
    </row>
    <row r="8" spans="1:8" x14ac:dyDescent="0.2">
      <c r="A8" s="24"/>
      <c r="B8" s="25"/>
      <c r="C8" s="27"/>
      <c r="D8" s="27"/>
      <c r="E8" s="25"/>
      <c r="F8" s="25"/>
      <c r="G8" s="27"/>
      <c r="H8" s="27"/>
    </row>
    <row r="9" spans="1:8" x14ac:dyDescent="0.2">
      <c r="A9" s="24"/>
      <c r="B9" s="25"/>
      <c r="C9" s="27"/>
      <c r="D9" s="27"/>
      <c r="E9" s="25"/>
      <c r="F9" s="25"/>
      <c r="G9" s="27"/>
      <c r="H9" s="27"/>
    </row>
    <row r="10" spans="1:8" x14ac:dyDescent="0.2">
      <c r="A10" s="24"/>
      <c r="B10" s="25"/>
      <c r="C10" s="27"/>
      <c r="D10" s="27"/>
      <c r="E10" s="25"/>
      <c r="F10" s="25"/>
      <c r="G10" s="27"/>
      <c r="H10" s="27"/>
    </row>
    <row r="11" spans="1:8" x14ac:dyDescent="0.2">
      <c r="A11" s="24"/>
      <c r="B11" s="25"/>
      <c r="C11" s="27"/>
      <c r="D11" s="27"/>
      <c r="E11" s="25"/>
      <c r="F11" s="25"/>
      <c r="G11" s="27"/>
      <c r="H11" s="27"/>
    </row>
    <row r="12" spans="1:8" x14ac:dyDescent="0.2">
      <c r="A12" s="24"/>
      <c r="B12" s="25"/>
      <c r="C12" s="27"/>
      <c r="D12" s="27"/>
      <c r="E12" s="25"/>
      <c r="F12" s="25"/>
      <c r="G12" s="27"/>
      <c r="H12" s="27"/>
    </row>
    <row r="13" spans="1:8" x14ac:dyDescent="0.2">
      <c r="A13" s="24"/>
      <c r="B13" s="25"/>
      <c r="C13" s="27"/>
      <c r="D13" s="27"/>
      <c r="E13" s="25"/>
      <c r="F13" s="25"/>
      <c r="G13" s="27"/>
      <c r="H13" s="27"/>
    </row>
    <row r="14" spans="1:8" x14ac:dyDescent="0.2">
      <c r="A14" s="24"/>
      <c r="B14" s="25"/>
      <c r="C14" s="27"/>
      <c r="D14" s="27"/>
      <c r="E14" s="25"/>
      <c r="F14" s="25"/>
      <c r="G14" s="27"/>
      <c r="H14" s="27"/>
    </row>
    <row r="15" spans="1:8" x14ac:dyDescent="0.2">
      <c r="A15" s="24"/>
      <c r="B15" s="25"/>
      <c r="C15" s="27"/>
      <c r="D15" s="27"/>
      <c r="E15" s="25"/>
      <c r="F15" s="25"/>
      <c r="G15" s="27"/>
      <c r="H15" s="27"/>
    </row>
    <row r="16" spans="1:8" x14ac:dyDescent="0.2">
      <c r="A16" s="24"/>
      <c r="B16" s="25"/>
      <c r="C16" s="27"/>
      <c r="D16" s="27"/>
      <c r="E16" s="25"/>
      <c r="F16" s="25"/>
      <c r="G16" s="27"/>
      <c r="H16" s="27"/>
    </row>
    <row r="17" spans="1:8" x14ac:dyDescent="0.2">
      <c r="A17" s="24"/>
      <c r="B17" s="25"/>
      <c r="C17" s="27"/>
      <c r="D17" s="27"/>
      <c r="E17" s="25"/>
      <c r="F17" s="25"/>
      <c r="G17" s="27"/>
      <c r="H17" s="27"/>
    </row>
    <row r="18" spans="1:8" x14ac:dyDescent="0.2">
      <c r="A18" s="24"/>
      <c r="B18" s="25"/>
      <c r="C18" s="27"/>
      <c r="D18" s="27"/>
      <c r="E18" s="25"/>
      <c r="F18" s="25"/>
      <c r="G18" s="27"/>
      <c r="H18" s="27"/>
    </row>
    <row r="19" spans="1:8" x14ac:dyDescent="0.2">
      <c r="A19" s="24"/>
      <c r="B19" s="25"/>
      <c r="C19" s="27"/>
      <c r="D19" s="27"/>
      <c r="E19" s="25"/>
      <c r="F19" s="25"/>
      <c r="G19" s="27"/>
      <c r="H19" s="27"/>
    </row>
    <row r="20" spans="1:8" x14ac:dyDescent="0.2">
      <c r="A20" s="24"/>
      <c r="B20" s="25"/>
      <c r="C20" s="27"/>
      <c r="D20" s="27"/>
      <c r="E20" s="25"/>
      <c r="F20" s="25"/>
      <c r="G20" s="27"/>
      <c r="H20" s="27"/>
    </row>
    <row r="21" spans="1:8" x14ac:dyDescent="0.2">
      <c r="A21" s="24"/>
      <c r="B21" s="25"/>
      <c r="C21" s="27"/>
      <c r="D21" s="27"/>
      <c r="E21" s="25"/>
      <c r="F21" s="25"/>
      <c r="G21" s="27"/>
      <c r="H21" s="27"/>
    </row>
    <row r="22" spans="1:8" x14ac:dyDescent="0.2">
      <c r="A22" s="24"/>
      <c r="B22" s="25"/>
      <c r="C22" s="27"/>
      <c r="D22" s="27"/>
      <c r="E22" s="25"/>
      <c r="F22" s="25"/>
      <c r="G22" s="27"/>
      <c r="H22" s="27"/>
    </row>
    <row r="23" spans="1:8" x14ac:dyDescent="0.2">
      <c r="A23" s="24"/>
      <c r="B23" s="25"/>
      <c r="C23" s="27"/>
      <c r="D23" s="27"/>
      <c r="E23" s="25"/>
      <c r="F23" s="25"/>
      <c r="G23" s="27"/>
      <c r="H23" s="27"/>
    </row>
    <row r="24" spans="1:8" x14ac:dyDescent="0.2">
      <c r="A24" s="24"/>
      <c r="B24" s="25"/>
      <c r="C24" s="27"/>
      <c r="D24" s="27"/>
      <c r="E24" s="25"/>
      <c r="F24" s="25"/>
      <c r="G24" s="27"/>
      <c r="H24" s="27"/>
    </row>
    <row r="25" spans="1:8" x14ac:dyDescent="0.2">
      <c r="A25" s="24"/>
      <c r="B25" s="25"/>
      <c r="C25" s="27"/>
      <c r="D25" s="27"/>
      <c r="E25" s="25"/>
      <c r="F25" s="25"/>
      <c r="G25" s="27"/>
      <c r="H25" s="27"/>
    </row>
    <row r="26" spans="1:8" x14ac:dyDescent="0.2">
      <c r="A26" s="24"/>
      <c r="B26" s="25"/>
      <c r="C26" s="27"/>
      <c r="D26" s="27"/>
      <c r="E26" s="25"/>
      <c r="F26" s="25"/>
      <c r="G26" s="27"/>
      <c r="H26" s="27"/>
    </row>
    <row r="27" spans="1:8" x14ac:dyDescent="0.2">
      <c r="A27" s="24"/>
      <c r="B27" s="25"/>
      <c r="C27" s="27"/>
      <c r="D27" s="27"/>
      <c r="E27" s="25"/>
      <c r="F27" s="25"/>
      <c r="G27" s="27"/>
      <c r="H27" s="27"/>
    </row>
    <row r="28" spans="1:8" x14ac:dyDescent="0.2">
      <c r="A28" s="24"/>
      <c r="B28" s="25"/>
      <c r="C28" s="27"/>
      <c r="D28" s="27"/>
      <c r="E28" s="25"/>
      <c r="F28" s="25"/>
      <c r="G28" s="27"/>
      <c r="H28" s="27"/>
    </row>
    <row r="29" spans="1:8" x14ac:dyDescent="0.2">
      <c r="A29" s="24"/>
      <c r="B29" s="25"/>
      <c r="C29" s="27"/>
      <c r="D29" s="27"/>
      <c r="E29" s="25"/>
      <c r="F29" s="25"/>
      <c r="G29" s="27"/>
      <c r="H29" s="27"/>
    </row>
    <row r="30" spans="1:8" x14ac:dyDescent="0.2">
      <c r="A30" s="24"/>
      <c r="B30" s="25"/>
      <c r="C30" s="27"/>
      <c r="D30" s="27"/>
      <c r="E30" s="25"/>
      <c r="F30" s="25"/>
      <c r="G30" s="27"/>
      <c r="H30" s="27"/>
    </row>
    <row r="31" spans="1:8" x14ac:dyDescent="0.2">
      <c r="A31" s="24"/>
      <c r="B31" s="25"/>
      <c r="C31" s="27"/>
      <c r="D31" s="27"/>
      <c r="E31" s="25"/>
      <c r="F31" s="25"/>
      <c r="G31" s="27"/>
      <c r="H31" s="27"/>
    </row>
    <row r="32" spans="1:8" x14ac:dyDescent="0.2">
      <c r="A32" s="24"/>
      <c r="B32" s="25"/>
      <c r="C32" s="27"/>
      <c r="D32" s="27"/>
      <c r="E32" s="25"/>
      <c r="F32" s="25"/>
      <c r="G32" s="27"/>
      <c r="H32" s="27"/>
    </row>
    <row r="33" spans="1:8" x14ac:dyDescent="0.2">
      <c r="A33" s="24"/>
      <c r="B33" s="25"/>
      <c r="C33" s="27"/>
      <c r="D33" s="27"/>
      <c r="E33" s="25"/>
      <c r="F33" s="25"/>
      <c r="G33" s="27"/>
      <c r="H33" s="27"/>
    </row>
    <row r="34" spans="1:8" x14ac:dyDescent="0.2">
      <c r="A34" s="24"/>
      <c r="B34" s="25"/>
      <c r="C34" s="27"/>
      <c r="D34" s="27"/>
      <c r="E34" s="25"/>
      <c r="F34" s="25"/>
      <c r="G34" s="27"/>
      <c r="H34" s="27"/>
    </row>
    <row r="35" spans="1:8" x14ac:dyDescent="0.2">
      <c r="A35" s="24"/>
      <c r="B35" s="25"/>
      <c r="C35" s="27"/>
      <c r="D35" s="27"/>
      <c r="E35" s="25"/>
      <c r="F35" s="25"/>
      <c r="G35" s="27"/>
      <c r="H35" s="27"/>
    </row>
    <row r="36" spans="1:8" x14ac:dyDescent="0.2">
      <c r="A36" s="24"/>
      <c r="B36" s="25"/>
      <c r="C36" s="27"/>
      <c r="D36" s="27"/>
      <c r="E36" s="25"/>
      <c r="F36" s="25"/>
      <c r="G36" s="27"/>
      <c r="H36" s="27"/>
    </row>
    <row r="37" spans="1:8" x14ac:dyDescent="0.2">
      <c r="A37" s="24"/>
      <c r="B37" s="25"/>
      <c r="C37" s="27"/>
      <c r="D37" s="27"/>
      <c r="E37" s="25"/>
      <c r="F37" s="25"/>
      <c r="G37" s="27"/>
      <c r="H37" s="27"/>
    </row>
    <row r="38" spans="1:8" x14ac:dyDescent="0.2">
      <c r="A38" s="24"/>
      <c r="B38" s="25"/>
      <c r="C38" s="27"/>
      <c r="D38" s="27"/>
      <c r="E38" s="25"/>
      <c r="F38" s="25"/>
      <c r="G38" s="27"/>
      <c r="H38" s="27"/>
    </row>
    <row r="39" spans="1:8" x14ac:dyDescent="0.2">
      <c r="A39" s="24"/>
      <c r="B39" s="25"/>
      <c r="C39" s="27"/>
      <c r="D39" s="27"/>
      <c r="E39" s="25"/>
      <c r="F39" s="25"/>
      <c r="G39" s="27"/>
      <c r="H39" s="27"/>
    </row>
    <row r="40" spans="1:8" x14ac:dyDescent="0.2">
      <c r="A40" s="24"/>
      <c r="B40" s="25"/>
      <c r="C40" s="27"/>
      <c r="D40" s="27"/>
      <c r="E40" s="25"/>
      <c r="F40" s="25"/>
      <c r="G40" s="27"/>
      <c r="H40" s="27"/>
    </row>
    <row r="41" spans="1:8" x14ac:dyDescent="0.2">
      <c r="A41" s="26">
        <f>COUNT(B3:B40)</f>
        <v>2</v>
      </c>
      <c r="B41" s="26">
        <f>SUM(B3:B40)</f>
        <v>547</v>
      </c>
      <c r="C41" s="28">
        <f t="shared" ref="C41" si="0">COUNT(D3:D40)</f>
        <v>4</v>
      </c>
      <c r="D41" s="28">
        <f t="shared" ref="D41" si="1">SUM(D3:D40)</f>
        <v>1212</v>
      </c>
      <c r="E41" s="26">
        <f t="shared" ref="E41" si="2">COUNT(F3:F40)</f>
        <v>1</v>
      </c>
      <c r="F41" s="26">
        <f t="shared" ref="F41" si="3">SUM(F3:F40)</f>
        <v>336</v>
      </c>
      <c r="G41" s="28">
        <f t="shared" ref="G41" si="4">COUNT(H3:H40)</f>
        <v>1</v>
      </c>
      <c r="H41" s="28">
        <f t="shared" ref="H41" si="5">SUM(H3:H40)</f>
        <v>267</v>
      </c>
    </row>
  </sheetData>
  <mergeCells count="4">
    <mergeCell ref="A1:B1"/>
    <mergeCell ref="C1:D1"/>
    <mergeCell ref="E1:F1"/>
    <mergeCell ref="G1:H1"/>
  </mergeCells>
  <dataValidations count="1">
    <dataValidation type="whole" allowBlank="1" showInputMessage="1" showErrorMessage="1" sqref="B3:B40 D3:D40 F3:F40 H3:H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40</vt:i4>
      </vt:variant>
    </vt:vector>
  </HeadingPairs>
  <TitlesOfParts>
    <vt:vector size="40" baseType="lpstr">
      <vt:lpstr>PARTICIPANTS</vt:lpstr>
      <vt:lpstr>Rotations</vt:lpstr>
      <vt:lpstr>Classement Final</vt:lpstr>
      <vt:lpstr>Podium</vt:lpstr>
      <vt:lpstr>Stats</vt:lpstr>
      <vt:lpstr>Adam Christophe</vt:lpstr>
      <vt:lpstr>Aguado Nicolas</vt:lpstr>
      <vt:lpstr>Bebelmans Ghislain</vt:lpstr>
      <vt:lpstr>Bracco Ludovic</vt:lpstr>
      <vt:lpstr>Briquemont Mathias</vt:lpstr>
      <vt:lpstr>Bruninx Jean-Luc</vt:lpstr>
      <vt:lpstr>Coquette Arthur</vt:lpstr>
      <vt:lpstr>Cougnet  Ludovic</vt:lpstr>
      <vt:lpstr>Curvers Maxime</vt:lpstr>
      <vt:lpstr>DelFrari Romano</vt:lpstr>
      <vt:lpstr>Delhasse Jacques</vt:lpstr>
      <vt:lpstr>Dequinze Benoit</vt:lpstr>
      <vt:lpstr>Destiné Martin</vt:lpstr>
      <vt:lpstr>Devooght Giani</vt:lpstr>
      <vt:lpstr>DiMarco David</vt:lpstr>
      <vt:lpstr>Dockier Fabrice</vt:lpstr>
      <vt:lpstr>Dupont  Olivier</vt:lpstr>
      <vt:lpstr>Frison Fabian</vt:lpstr>
      <vt:lpstr>Gigot Alain</vt:lpstr>
      <vt:lpstr>Habran Jérémy</vt:lpstr>
      <vt:lpstr>Henrottin  Christian</vt:lpstr>
      <vt:lpstr>Hockers  Thierry</vt:lpstr>
      <vt:lpstr>Jacques Romain</vt:lpstr>
      <vt:lpstr>Jamagne Thierry</vt:lpstr>
      <vt:lpstr>Lambert Jacques</vt:lpstr>
      <vt:lpstr>Leboutte Loïc</vt:lpstr>
      <vt:lpstr>Lefert Quentin</vt:lpstr>
      <vt:lpstr>Marchais Philippe</vt:lpstr>
      <vt:lpstr>Lorquet Julien</vt:lpstr>
      <vt:lpstr>Mathieu Vincent</vt:lpstr>
      <vt:lpstr>Mathieu Christian</vt:lpstr>
      <vt:lpstr>Ruisseau Olivier</vt:lpstr>
      <vt:lpstr>Sabaut Serge</vt:lpstr>
      <vt:lpstr>Saive Thibault</vt:lpstr>
      <vt:lpstr>parametres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BRUNINX</dc:creator>
  <cp:lastModifiedBy>Jean-Luc BRUNINX</cp:lastModifiedBy>
  <cp:lastPrinted>2019-05-14T09:23:13Z</cp:lastPrinted>
  <dcterms:created xsi:type="dcterms:W3CDTF">2018-04-17T07:10:19Z</dcterms:created>
  <dcterms:modified xsi:type="dcterms:W3CDTF">2019-05-20T07:45:33Z</dcterms:modified>
</cp:coreProperties>
</file>